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9D065484-B9B1-4B4A-9BAA-FAF540E72377}" xr6:coauthVersionLast="47" xr6:coauthVersionMax="47" xr10:uidLastSave="{00000000-0000-0000-0000-000000000000}"/>
  <bookViews>
    <workbookView xWindow="435" yWindow="45" windowWidth="26505" windowHeight="1581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40" i="5" l="1"/>
  <c r="A5" i="16"/>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P27" i="15" l="1"/>
  <c r="P24" i="15" s="1"/>
  <c r="AB28" i="15"/>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6" i="5"/>
  <c r="AE42" i="5"/>
  <c r="AE57" i="5"/>
  <c r="BD29" i="5"/>
  <c r="BD42" i="5"/>
  <c r="AE31" i="5"/>
  <c r="AE64" i="5"/>
  <c r="AE84" i="5"/>
  <c r="BD53" i="5"/>
  <c r="BD49" i="5"/>
  <c r="AE41" i="5"/>
  <c r="AE28" i="5"/>
  <c r="H32" i="5"/>
  <c r="AE36" i="5"/>
  <c r="D32" i="5"/>
  <c r="E32" i="5"/>
  <c r="AE34" i="5"/>
  <c r="AE53" i="5"/>
  <c r="B44" i="22"/>
  <c r="AE78" i="5"/>
  <c r="AE33" i="5"/>
  <c r="BD36" i="5"/>
  <c r="AE47" i="5"/>
  <c r="AE83" i="5"/>
  <c r="BD55" i="5"/>
  <c r="BD48" i="5" l="1"/>
  <c r="AE66" i="5"/>
  <c r="BD47" i="5"/>
  <c r="BD50" i="5"/>
  <c r="BD40" i="5"/>
  <c r="BD27"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R27" i="15" l="1"/>
  <c r="R24" i="15" s="1"/>
  <c r="F29" i="15"/>
  <c r="F30" i="15"/>
  <c r="F31" i="15"/>
  <c r="F33" i="15"/>
  <c r="AE27" i="15"/>
  <c r="AE24" i="15" s="1"/>
  <c r="N27" i="15"/>
  <c r="D24" i="15"/>
  <c r="Z27" i="15" l="1"/>
  <c r="Z24" i="15" s="1"/>
  <c r="F28" i="15"/>
  <c r="V27" i="15"/>
  <c r="V24" i="15" s="1"/>
  <c r="AC28" i="15"/>
  <c r="E33" i="15"/>
  <c r="AC33" i="15"/>
  <c r="AC31" i="15"/>
  <c r="E31" i="15"/>
  <c r="N24" i="15"/>
  <c r="F24" i="15" s="1"/>
  <c r="F27" i="15"/>
  <c r="AC29" i="15"/>
  <c r="E29" i="15"/>
  <c r="E30" i="15"/>
  <c r="AC30" i="15"/>
  <c r="J27" i="15" l="1"/>
  <c r="E28" i="15"/>
  <c r="E27"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<sst xmlns="http://schemas.openxmlformats.org/spreadsheetml/2006/main" count="4354" uniqueCount="630">
  <si>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</si>
  <si>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</si>
  <si>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</si>
  <si>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</si>
  <si>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</si>
  <si>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</si>
  <si>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</si>
  <si>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</si>
  <si>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</si>
  <si>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</si>
  <si>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</si>
  <si>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</si>
  <si>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</si>
  <si>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</si>
  <si>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</si>
  <si>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</si>
  <si>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</si>
  <si>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</si>
  <si>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</si>
  <si>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</si>
  <si>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</si>
  <si>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</si>
  <si>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</si>
  <si>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</si>
  <si>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</si>
  <si>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</si>
  <si>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</si>
  <si>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</si>
  <si>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</si>
  <si>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</si>
  <si>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</si>
  <si>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</si>
  <si>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</si>
  <si>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</si>
  <si>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</si>
  <si>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</si>
  <si>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</si>
  <si>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</si>
  <si>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</si>
  <si>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</si>
  <si>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</si>
  <si>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</si>
  <si>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</si>
  <si>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</si>
  <si>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</si>
  <si>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</si>
  <si>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</si>
  <si>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</si>
  <si>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</si>
  <si>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</si>
  <si>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</si>
  <si>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</si>
  <si>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</si>
  <si>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</si>
  <si>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</si>
  <si>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</si>
  <si>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</si>
  <si>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</si>
  <si>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</si>
  <si>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</si>
  <si>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</si>
  <si>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</si>
  <si>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</si>
  <si>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</si>
  <si>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</si>
  <si>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</si>
  <si>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</si>
  <si>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</si>
  <si>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</si>
  <si>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</si>
  <si>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</si>
  <si>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</si>
  <si>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</si>
  <si>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</si>
  <si>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</si>
  <si>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</si>
  <si>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</si>
  <si>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</si>
  <si>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</si>
  <si>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</si>
  <si>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</si>
  <si>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</si>
  <si>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</si>
  <si>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</si>
  <si>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</si>
  <si>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</si>
  <si>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</si>
  <si>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</si>
  <si>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</si>
  <si>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</si>
  <si>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</si>
  <si>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</si>
  <si>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</si>
  <si>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</si>
  <si>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</si>
  <si>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</si>
  <si>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</si>
  <si>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</si>
  <si>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</si>
  <si>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</si>
  <si>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</si>
  <si>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</si>
  <si>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</si>
  <si>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</si>
  <si>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</si>
  <si>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</si>
  <si>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</si>
  <si>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</si>
  <si>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</si>
  <si>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</si>
  <si>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</si>
  <si>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</si>
  <si>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</si>
  <si>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</si>
  <si>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</si>
  <si>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</si>
  <si>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</si>
  <si>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</si>
  <si>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</si>
  <si>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</si>
  <si>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</si>
  <si>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</si>
  <si>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</si>
  <si>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</si>
  <si>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</si>
  <si>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</si>
  <si>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</si>
  <si>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</si>
  <si>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</si>
  <si>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</si>
  <si>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</si>
  <si>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</si>
  <si>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</si>
  <si>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</si>
  <si>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</si>
  <si>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</si>
  <si>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</si>
  <si>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</si>
  <si>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</si>
  <si>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</si>
  <si>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</si>
  <si>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</si>
  <si>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</si>
  <si>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</si>
  <si>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</si>
  <si>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</si>
  <si>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</si>
  <si>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</si>
  <si>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</si>
  <si>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</si>
  <si>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</si>
  <si>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</si>
  <si>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</si>
  <si>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</si>
  <si>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</si>
  <si>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</si>
  <si>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</si>
  <si>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</si>
  <si>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</si>
  <si>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</si>
  <si>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</si>
  <si>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</si>
  <si>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</si>
  <si>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</si>
  <si>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</si>
  <si>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</si>
  <si>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</si>
  <si>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</si>
  <si>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</si>
  <si>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</si>
  <si>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</si>
  <si>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</si>
  <si>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</si>
  <si>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</si>
  <si>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</si>
  <si>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</si>
  <si>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</si>
  <si>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</si>
  <si>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</si>
  <si>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</si>
  <si>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</si>
  <si>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</si>
  <si>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</si>
  <si>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</si>
  <si>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</si>
  <si>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</si>
  <si>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</si>
  <si>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</si>
  <si>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</si>
  <si>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</si>
  <si>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</si>
  <si>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</si>
  <si>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</si>
  <si>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</si>
  <si>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</si>
  <si>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</si>
  <si>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</si>
  <si>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</si>
  <si>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</si>
  <si>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</si>
  <si>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</si>
  <si>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</si>
  <si>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</si>
  <si>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</si>
  <si>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</si>
  <si>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</si>
  <si>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</si>
  <si>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</si>
  <si>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</si>
  <si>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</si>
  <si>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</si>
  <si>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</si>
  <si>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</si>
  <si>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</si>
  <si>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</si>
  <si>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</si>
  <si>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</si>
  <si>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</si>
  <si>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</si>
  <si>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</si>
  <si>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</si>
  <si>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</si>
  <si>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</si>
  <si>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</si>
  <si>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</si>
  <si>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</si>
  <si>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</si>
  <si>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</si>
  <si>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</si>
  <si>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</si>
  <si>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</si>
  <si>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</si>
  <si>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</si>
  <si>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</si>
  <si>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</si>
  <si>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</si>
  <si>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</si>
  <si>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</si>
  <si>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</si>
  <si>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</si>
  <si>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</si>
  <si>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</si>
  <si>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</si>
  <si>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</si>
  <si>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</si>
  <si>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</si>
  <si>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</si>
  <si>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</si>
  <si>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</si>
  <si>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</si>
  <si>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</si>
  <si>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</si>
  <si>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</si>
  <si>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</si>
  <si>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</si>
  <si>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</si>
  <si>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</si>
  <si>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</si>
  <si>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</si>
  <si>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</si>
  <si>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</si>
  <si>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</si>
  <si>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</si>
  <si>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</si>
  <si>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</si>
  <si>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</si>
  <si>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</si>
  <si>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</si>
  <si>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</si>
  <si>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</si>
  <si>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</si>
  <si>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</si>
  <si>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</si>
  <si>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</si>
  <si>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</si>
  <si>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</si>
  <si>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</si>
  <si>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</si>
  <si>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</si>
  <si>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</si>
  <si>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</si>
  <si>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</si>
  <si>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</si>
  <si>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</si>
  <si>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</si>
  <si>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</si>
  <si>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</si>
  <si>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</si>
  <si>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</si>
  <si>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</si>
  <si>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</si>
  <si>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</si>
  <si>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</si>
  <si>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</si>
  <si>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</si>
  <si>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</si>
  <si>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</si>
  <si>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</si>
  <si>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</si>
  <si>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</si>
  <si>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</si>
  <si>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</si>
  <si>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</si>
  <si>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</si>
  <si>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</si>
  <si>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</si>
  <si>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</si>
  <si>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</si>
  <si>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</si>
  <si>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</si>
  <si>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</si>
  <si>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</si>
  <si>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</si>
  <si>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</si>
  <si>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</si>
  <si>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</si>
  <si>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</si>
  <si>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</si>
  <si>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</si>
  <si>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</si>
  <si>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</si>
  <si>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</si>
  <si>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</si>
  <si>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</si>
  <si>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</si>
  <si>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</si>
  <si>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</si>
  <si>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</si>
  <si>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</si>
  <si>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</si>
  <si>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</si>
  <si>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</si>
  <si>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</si>
  <si>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</si>
  <si>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</si>
  <si>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</si>
  <si>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</si>
  <si>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</si>
  <si>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</si>
  <si>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</si>
  <si>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</si>
  <si>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</si>
  <si>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</si>
  <si>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</si>
  <si>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</si>
  <si>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</si>
  <si>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</si>
  <si>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</si>
  <si>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</si>
  <si>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</si>
  <si>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</si>
  <si>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</si>
  <si>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</si>
  <si>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</si>
  <si>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</si>
  <si>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</si>
  <si>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</si>
  <si>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</si>
  <si>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</si>
  <si>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</si>
  <si>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</si>
  <si>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</si>
  <si>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</si>
  <si>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</si>
  <si>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</si>
  <si>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</si>
  <si>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</si>
  <si>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</si>
  <si>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</si>
  <si>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</si>
  <si>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</si>
  <si>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</si>
  <si>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</si>
  <si>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</si>
  <si>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</si>
  <si>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</si>
  <si>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</si>
  <si>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</si>
  <si>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</si>
  <si>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</si>
  <si>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</si>
  <si>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</si>
  <si>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</si>
  <si>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</si>
  <si>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</si>
  <si>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</si>
  <si>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</si>
  <si>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</si>
  <si>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</si>
  <si>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</si>
  <si>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</si>
  <si>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</si>
  <si>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</si>
  <si>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</si>
  <si>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</si>
  <si>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</si>
  <si>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</si>
  <si>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</si>
  <si>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</si>
  <si>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</si>
  <si>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</si>
  <si>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</si>
  <si>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</si>
  <si>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</si>
  <si>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</si>
  <si>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</si>
  <si>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</si>
  <si>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</si>
  <si>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</si>
  <si>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</si>
  <si>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</si>
  <si>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</si>
  <si>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</si>
  <si>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</si>
  <si>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</si>
  <si>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</si>
  <si>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</si>
  <si>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</si>
  <si>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</si>
  <si>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</si>
  <si>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</si>
  <si>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</si>
  <si>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</si>
  <si>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</si>
  <si>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</si>
  <si>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</si>
  <si>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</si>
  <si>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</si>
  <si>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</si>
  <si>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</si>
  <si>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</si>
  <si>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</si>
  <si>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</si>
  <si>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</si>
  <si>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</si>
  <si>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</si>
  <si>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</si>
  <si>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</si>
  <si>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</si>
  <si>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</si>
  <si>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</si>
  <si>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</si>
  <si>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t>
  </si>
  <si>
    <t>Утвержденный план</t>
  </si>
  <si>
    <t>Предложение по корректировке утвержденного плана</t>
  </si>
  <si>
    <t>M_00.0002.000002</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</si>
  <si>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</si>
  <si>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</si>
  <si>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</si>
  <si>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</si>
  <si>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</si>
  <si>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</si>
  <si>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</si>
  <si>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</si>
  <si>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</si>
  <si>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</si>
  <si>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</si>
  <si>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</si>
  <si>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</si>
  <si>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</si>
  <si>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</si>
  <si>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</si>
  <si>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</si>
  <si>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</si>
  <si>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</si>
  <si>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</si>
  <si>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</si>
  <si>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</si>
  <si>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</si>
  <si>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</si>
  <si>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</si>
  <si>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</si>
  <si>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</si>
  <si>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</si>
  <si>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</si>
  <si>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</si>
  <si>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</si>
  <si>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</si>
  <si>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</si>
  <si>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</si>
  <si>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</si>
  <si>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</si>
  <si>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</si>
  <si>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</si>
  <si>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</si>
  <si>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</si>
  <si>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</si>
  <si>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</si>
  <si>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</si>
  <si>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</si>
  <si>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</si>
  <si>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</si>
  <si>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</si>
  <si>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</si>
  <si>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</si>
  <si>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</si>
  <si>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</si>
  <si>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</si>
  <si>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</si>
  <si>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</si>
  <si>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</si>
  <si>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</si>
  <si>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</si>
  <si>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</si>
  <si>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</si>
  <si>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</si>
  <si>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</si>
  <si>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</si>
  <si>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</si>
  <si>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</si>
  <si>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три года. Смещение сроков выполнения работ по замене разъединителей и реконструкции устройств РЗА,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</si>
  <si>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СМР, ПНР</t>
  </si>
  <si>
    <t>Выполнение   строительно-монтажных и пусконаладочных работ по проекту "Реконструкция ПС 220 кВ Урожай в части замены ячеек выключателей 220 кВ (8 шт.) с выполнением сопутствующего объема работ</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</si>
  <si>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</si>
  <si>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</si>
  <si>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</si>
  <si>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АКЦИОНЕРНОЕ ОБЩЕСТВО "РЕМОНТЭНЕРГОМОНТАЖ И СЕРВИС"</t>
  </si>
  <si>
    <t>-</t>
  </si>
  <si>
    <t>да</t>
  </si>
  <si>
    <t>https://com.roseltorg.ru/</t>
  </si>
  <si>
    <t>ИП</t>
  </si>
  <si>
    <t>СМР</t>
  </si>
  <si>
    <t>ИП-23-00050 от 10.03.2023</t>
  </si>
  <si>
    <t>ПИР, СМР, ПНР</t>
  </si>
  <si>
    <t>Проектно-изыскательские, строительно-монтажные и пусконаладочные работы по реконструкции ПС 220 кВ Урожай в части замены ячеек выключателей 220 кВ (8 шт.) и выполнением сопутствующего объема работ</t>
  </si>
  <si>
    <t>Конкурентные переговоры в электронной форме</t>
  </si>
  <si>
    <t>АО "РЭМиС"</t>
  </si>
  <si>
    <t>https://www.roseltorg.ru/</t>
  </si>
  <si>
    <t>ИП-19-00101 от 17.06.2019</t>
  </si>
  <si>
    <t>ТМЦ</t>
  </si>
  <si>
    <t>Поставка разъединителей 110-220 кВ</t>
  </si>
  <si>
    <t>Аукцион в электронной форме</t>
  </si>
  <si>
    <t>ООО «ИЦС»</t>
  </si>
  <si>
    <t>ПД</t>
  </si>
  <si>
    <t>Общество с ограниченной ответственностью "Инженерный центр Сибири"</t>
  </si>
  <si>
    <t>ПД-23-00052 от 14.03.2023</t>
  </si>
  <si>
    <t>Выполнение проектно-изыскательских, строительно-монтажных и пуско-наладочных работ по проекту "Реконструкция ПС 220 кВ Урожай в части замены ячеек выключателей 220 кВ (8 шт.) с выполнением сопутствующего объема работ</t>
  </si>
  <si>
    <t>Закупка у единственного поставщика (подрядчика, исполнителя)</t>
  </si>
  <si>
    <t>нет</t>
  </si>
  <si>
    <t>8.2.2.8</t>
  </si>
  <si>
    <t>ЦЗК</t>
  </si>
  <si>
    <t>Протокол №29</t>
  </si>
  <si>
    <t>ИП-22-00419 от 27.12.2022</t>
  </si>
  <si>
    <t>ПИР, СМР</t>
  </si>
  <si>
    <t>Реконструкция ПС 220 кВ Урожай в части замены ячеек выключателей 220 кВ (8 шт.) с выполнением сопутствующего объема работ» (в части замены ячеек выключателей В-219, В-220), по Объекту «ПС 220 кВ Урожай»</t>
  </si>
  <si>
    <t>Заключение договора с взаимозависимым юридическим лицом</t>
  </si>
  <si>
    <t>2.2.1.12</t>
  </si>
  <si>
    <t>Протокол №31</t>
  </si>
  <si>
    <t>ИП-20-00336 от 25.12.2020</t>
  </si>
  <si>
    <t>Проектно-изыскательские, строительно-монтажные и пусконаладочные работы</t>
  </si>
  <si>
    <t>Конкурс в электронной форме</t>
  </si>
  <si>
    <t>ИП-22-00024 от 16.02.2022</t>
  </si>
  <si>
    <t>Выполнение комплекса работ (Проектно-изыскательские, строительно-монтажные, пусконаладочные работы) по реконструкции ПС 220 кВ Урожай в части замены ячеек выключателей 220 кВ (8 шт.) с выполнением сопутствующего объема работ</t>
  </si>
  <si>
    <t>Запрос предложений</t>
  </si>
  <si>
    <t>АО "РЭМиС"; Общество с ограниченной ответственностью "Проектный Центр Сибири"; Общество с ограниченной ответственностью «Агропромэнерго НСК»; ОБЩЕСТВО С ОГРАНИЧЕННОЙ 
ОТВЕТСТВЕННОСТЬЮ "ВЕЛЛЭНЕРДЖИ"</t>
  </si>
  <si>
    <t>48894,56; 48879,56; 48894,56; 48800,00</t>
  </si>
  <si>
    <t>Общество с ограниченной ответственностью "Проектный Центр Сибири"</t>
  </si>
  <si>
    <t>32950; 48894,56; 33900,00</t>
  </si>
  <si>
    <t>ИП-20-00079 от 26.03.2020</t>
  </si>
  <si>
    <t>ПИР</t>
  </si>
  <si>
    <t>Выполнение проектно-изыскательских работ по проекту "Реконструкция ПС 220 кВ Урожай в части замены ячеек выключателей 220 кВ (8 шт.) с выполнением сопутствующего объема работ (в части 2ПК В-220 1АТ и 2ПК В-220 2АТ)"</t>
  </si>
  <si>
    <t>ОБЩЕСТВО С ОГРАНИЧЕННОЙ ОТВЕТСТВЕННОСТЬЮ "ПРОЕКТНЫЙ ЦЕНТР СИБИРИ";
АКЦИОНЕРНОЕ ОБЩЕСТВО "ЭЛСИ ЭНЕРГОПРОЕКТ"</t>
  </si>
  <si>
    <t>3944,29038;
3747,07586</t>
  </si>
  <si>
    <t>ОБЩЕСТВО С ОГРАНИЧЕННОЙ ОТВЕТСТВЕННОСТЬЮ "ПРОЕКТНЫЙ ЦЕНТР СИБИРИ"</t>
  </si>
  <si>
    <t>ИП-24-00062 от 11.04.2024</t>
  </si>
  <si>
    <t>Выполнение строительно-монтажных работ по проекту "Реконструкция ПС 220 кВ Урожай в части замены ячеек выключателей 220 кВ (8 шт.) с выполнением сопутствующего объема работ (в части 2ПК ШСВ-220  и замены ОР-В-291)"</t>
  </si>
  <si>
    <t>Несостоявшаяся закупочная процедура (низкая стоимость лота)</t>
  </si>
  <si>
    <t>Закупочная процедура признана несостоявшейся</t>
  </si>
  <si>
    <t>Выполнение проектно-изыскательских работ по проекту "Реконструкция ПС 220 кВ Урожай в части замены ячеек выключателей 220 кВ (8 шт.) с выполнением сопутствующего объема работ (в части 2ПК В-219, 2ПК В-220, 2ПК В-221, 2ПК В-222)"</t>
  </si>
  <si>
    <t>ОГРАНИЧЕННОЙ ОТВЕТСТВЕННОСТЬЮ "ПРОЕКТНЫЙ ЦЕНТР СИБИРИ"
ОБЩЕСТВО С ОГРАНИЧЕННОЙ ОТВЕТСТВЕННОСТЬЮ "БАЙКАЛЭЛЕКТРО"
ОБЩЕСТВО С ОГРАНИЧЕННОЙ ОТВЕТСТВЕННОСТЬЮ "ВЕЛЛЭНЕРДЖИ"
ОБЩЕСТВО С ОГРАНИЧЕННОЙ ОТВЕТСТВЕННОСТЬЮ "ГРУППА КОМПАНИЙ "СВЯЗЬИНФОПРОЕКТ"</t>
  </si>
  <si>
    <t>7970,52
7970,52068
7970,52068
7970,52068</t>
  </si>
  <si>
    <t>6934,3524
6971</t>
  </si>
  <si>
    <t>ОГРАНИЧЕННОЙ ОТВЕТСТВЕННОСТЬЮ "ПРОЕКТНЫЙ ЦЕНТР СИБИРИ"</t>
  </si>
  <si>
    <t>ИП-24-00134 от 20.06.2024</t>
  </si>
  <si>
    <t>ОБЩЕСТВО С ОГРАНИЧЕННОЙ ОТВЕТСТВЕННОСТЬЮ "ЭКРА-СИБИРЬ"</t>
  </si>
  <si>
    <t>ИП-24-00238 от 15.10.2024</t>
  </si>
  <si>
    <t>Выполнение строительно-монтажных и пуско-наладочных работ по проектам: "Реконструкция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 (2ПК В-220 1АТ и 2ПК В-220-2АТ)</t>
  </si>
  <si>
    <t>Поставка разъединителей на ПС 220 кВ Урожай</t>
  </si>
  <si>
    <t>Аукцион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</si>
  <si>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t>
  </si>
  <si>
    <t>Общество с ограниченной ответственностью "ИНЖЕНЕРНЫЙ ЦЕНТР СИБИРИ"</t>
  </si>
  <si>
    <t>ПД-23-00291 от 26.09.2023</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</si>
  <si>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</si>
  <si>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</si>
  <si>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</si>
  <si>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Проектно-сметная документация утвержденная приказами: № 768 от 02.11.2022; 
№ 768/1 от 11.09.2023</t>
  </si>
  <si>
    <t>см. комментарии ниже по этапам</t>
  </si>
  <si>
    <t>Смещение сроков выполнения работ по замене разъединителей и реконструкции устройств РЗА,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</si>
  <si>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г. Карасук</t>
  </si>
  <si>
    <t>не требуется</t>
  </si>
  <si>
    <t>не относится</t>
  </si>
  <si>
    <t>+</t>
  </si>
  <si>
    <t>0,29 МВА</t>
  </si>
  <si>
    <t>1. Выполнение требований  Правил устройств электроустановок, утвержденных Приказом Минэнерго России от 08.07.2002 №204;
2. Уменьшить количество маслонаполненного оборудования на подстанциях;
3. Предотвратить возможность повреждения коммутационного оборудования  с учетом его технического состояния;
4.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</si>
  <si>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 xml:space="preserve">Замена воздушных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снизить затраты на эксплуатацию компрессорных установок и возможность последующего вывода из эксплуатации компрессорного хозяйства на подстанции, что позволит уменьшить количество опасных производственных объектов, для которых необходима регистрация в органах Ростехнадзора и проведение технического освидетельствования до октября 2022 года.
</t>
  </si>
  <si>
    <t>ПС 220 кВ Урожай</t>
  </si>
  <si>
    <t>68523,03 тыс. руб. с НДС на 1 выключатель 220 кВ</t>
  </si>
  <si>
    <t>1 этап 1-го пускового комплекса - замена ячейки выключателя В-291;
1 этап 2-го пускового комплекса - замена разъединителей, устройств РЗА ячейки выключателя В-291;
2 этап 1-го пускового комплекса - замена ячейки выключателя ШСВ-220;
2 этап 2-го пускового комплекса - замена разъединителей, устройств РЗА ячейки выключателя ШСВ-220;
3 этап 1-го пускового комплекса - замена ячейки выключателя В-220-1АТ;
3 этап 2-го пускового комплекса - замена разъединителей, устройств РЗА ячейки выключателя  В-220-1АТ;
4 этап 1-го пускового комплекса - замена ячейки выключателя В-220-2АТ;
4 этап 2-го пускового комплекса - замена разъединителей, устройств РЗА ячейки выключателя В-220-2АТ;
5 этап 1-го пускового комплекса - замена ячейки выключателя В-219;
5 этап 2-го пускового комплекса - замена разъединителей, устройств РЗА ячейки выключателя  В-219;
6 этап 1-го пускового комплекса - замена ячейки выключателя В-220;
6 этап 2-го пускового комплекса - замена разъединителей, устройств РЗА ячейки выключателя  В-220;
7 этап 1-го пускового комплекса - замена ячейки выключателя В-222;
7 этап 2-го пускового комплекса - замена разъединителей, устройств РЗА ячейки выключателя В-222;
8 этап 1-го пускового комплекса - замена ячейки выключателя В-221;
8 этап 2-го пускового комплекса - замена разъединителей, устройств РЗА ячейки выключателя В-221.</t>
  </si>
  <si>
    <t>1.Объект включён в инвестиционную программу на основании оценки технического состояния, подтвержденный индексом технического состояния (ИТС:45;45;48,7;52;52;48,7;44,1625;48,7)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ПС-2/09-2020 от 30.05.2020.</t>
  </si>
  <si>
    <t>С</t>
  </si>
  <si>
    <t>Сибирский Федеральный округ, Новосибирская область, г. Карасук</t>
  </si>
  <si>
    <t>ВВБ 220 31,5/2000 У1</t>
  </si>
  <si>
    <t>Элегазовый выключатель</t>
  </si>
  <si>
    <t>В-220-1АТ</t>
  </si>
  <si>
    <t xml:space="preserve">Акт № ПС-2/09-2020 от 30.05.2020 технического освидетельствования ПС 220 кВ Урожай                                   
</t>
  </si>
  <si>
    <t>Оборудование, которое имеет дефекты, его эксплуатация сопряжена с вероятностью технологических нарушений, но допускается к работе при проведении мероприятий в установленный срок</t>
  </si>
  <si>
    <t>В-220-2АТ</t>
  </si>
  <si>
    <t>ШСВ-220</t>
  </si>
  <si>
    <t>2019</t>
  </si>
  <si>
    <t>В-219</t>
  </si>
  <si>
    <t>2020</t>
  </si>
  <si>
    <t>В-220</t>
  </si>
  <si>
    <t>В-221</t>
  </si>
  <si>
    <t>2022</t>
  </si>
  <si>
    <t>В-222</t>
  </si>
  <si>
    <t>В-291</t>
  </si>
  <si>
    <t> 1983</t>
  </si>
  <si>
    <t>3;4</t>
  </si>
  <si>
    <t>2;3;4</t>
  </si>
  <si>
    <t>2;3</t>
  </si>
  <si>
    <t>2;4</t>
  </si>
  <si>
    <t>1;2;3</t>
  </si>
  <si>
    <t>2;2;2;2</t>
  </si>
  <si>
    <t xml:space="preserve">Поставка шкафов РЗА для ПС Урожай																								</t>
  </si>
  <si>
    <t>Конкурс в электронной форме, участниками которого могут быть только субъекты малого и среднего предпринимательства</t>
  </si>
  <si>
    <t>ПД-25-00287 от 01.09.2025</t>
  </si>
  <si>
    <t>60%</t>
  </si>
  <si>
    <t>80%</t>
  </si>
  <si>
    <t>65%</t>
  </si>
  <si>
    <t>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</si>
</sst>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442</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582</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583</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588</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589</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589</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589</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589</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589</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590</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589</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589</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589</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591</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589</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t="s">
        <v>622</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2.5239702266368874E-2</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592</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205.32246101737312</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172.56853205829694</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9" t="str">
        <f>'1. паспорт местоположение'!A12:C12</f>
        <v>M_00.0002.000002</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9" t="str">
        <f>'1. паспорт местоположение'!A15:C15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04"/>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505</v>
      </c>
      <c r="F20" s="446"/>
      <c r="G20" s="440" t="s">
        <v>447</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202"/>
      <c r="AE20" s="448">
        <v>2030</v>
      </c>
      <c r="AF20" s="448"/>
      <c r="AG20" s="448"/>
      <c r="AH20" s="448"/>
    </row>
    <row r="21" spans="1:34" ht="99.75" customHeight="1" x14ac:dyDescent="0.25">
      <c r="A21" s="444"/>
      <c r="B21" s="440"/>
      <c r="C21" s="440"/>
      <c r="D21" s="440"/>
      <c r="E21" s="446"/>
      <c r="F21" s="446"/>
      <c r="G21" s="440"/>
      <c r="H21" s="440" t="s">
        <v>443</v>
      </c>
      <c r="I21" s="440"/>
      <c r="J21" s="440" t="s">
        <v>444</v>
      </c>
      <c r="K21" s="440"/>
      <c r="L21" s="440" t="s">
        <v>443</v>
      </c>
      <c r="M21" s="440"/>
      <c r="N21" s="440" t="s">
        <v>444</v>
      </c>
      <c r="O21" s="440"/>
      <c r="P21" s="440" t="s">
        <v>443</v>
      </c>
      <c r="Q21" s="440"/>
      <c r="R21" s="440" t="s">
        <v>444</v>
      </c>
      <c r="S21" s="440"/>
      <c r="T21" s="440" t="s">
        <v>443</v>
      </c>
      <c r="U21" s="440"/>
      <c r="V21" s="440" t="s">
        <v>444</v>
      </c>
      <c r="W21" s="440"/>
      <c r="X21" s="440" t="s">
        <v>443</v>
      </c>
      <c r="Y21" s="440"/>
      <c r="Z21" s="440" t="s">
        <v>444</v>
      </c>
      <c r="AA21" s="440"/>
      <c r="AB21" s="449"/>
      <c r="AC21" s="449"/>
      <c r="AE21" s="440" t="s">
        <v>1</v>
      </c>
      <c r="AF21" s="440"/>
      <c r="AG21" s="440" t="s">
        <v>444</v>
      </c>
      <c r="AH21" s="440"/>
    </row>
    <row r="22" spans="1:34" ht="89.25" customHeight="1" x14ac:dyDescent="0.25">
      <c r="A22" s="445"/>
      <c r="B22" s="440"/>
      <c r="C22" s="249" t="str">
        <f>H21</f>
        <v>Утвержденный план</v>
      </c>
      <c r="D22" s="249" t="s">
        <v>444</v>
      </c>
      <c r="E22" s="271" t="s">
        <v>446</v>
      </c>
      <c r="F22" s="271" t="s">
        <v>504</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527.80418164538196</v>
      </c>
      <c r="D24" s="261">
        <f t="shared" ref="D24:G24" si="0">D25+D26+D27+D32+D33</f>
        <v>548.18421514656825</v>
      </c>
      <c r="E24" s="262">
        <f>J24+N24+R24+V24+Z24+AE24</f>
        <v>205.32246101737312</v>
      </c>
      <c r="F24" s="262">
        <f t="shared" ref="F24:F26" si="1">N24+R24+V24+Z24+AE24</f>
        <v>159.74612305537312</v>
      </c>
      <c r="G24" s="253">
        <f t="shared" si="0"/>
        <v>18.251916600805373</v>
      </c>
      <c r="H24" s="253">
        <f>H25+H26+H27+H32+H33</f>
        <v>24.880918793999992</v>
      </c>
      <c r="I24" s="253" t="s">
        <v>424</v>
      </c>
      <c r="J24" s="261">
        <f>J25+J26+J27+J32+J33</f>
        <v>45.57633796199999</v>
      </c>
      <c r="K24" s="261" t="s">
        <v>424</v>
      </c>
      <c r="L24" s="253">
        <f>L25+L26+L27+L32+L33</f>
        <v>16.627999323303403</v>
      </c>
      <c r="M24" s="253" t="s">
        <v>424</v>
      </c>
      <c r="N24" s="261">
        <f>N25+N26+N27+N32+N33</f>
        <v>24.880918793999989</v>
      </c>
      <c r="O24" s="261" t="s">
        <v>424</v>
      </c>
      <c r="P24" s="253">
        <f t="shared" ref="P24" si="2">P25+P26+P27+P32+P33</f>
        <v>39.611521015300667</v>
      </c>
      <c r="Q24" s="253" t="s">
        <v>424</v>
      </c>
      <c r="R24" s="261">
        <f>R25+R26+R27+R32+R33</f>
        <v>0</v>
      </c>
      <c r="S24" s="261" t="s">
        <v>424</v>
      </c>
      <c r="T24" s="253">
        <f t="shared" ref="T24" si="3">T25+T26+T27+T32+T33</f>
        <v>30.244975397148139</v>
      </c>
      <c r="U24" s="253" t="s">
        <v>424</v>
      </c>
      <c r="V24" s="261">
        <f>V25+V26+V27+V32+V33</f>
        <v>65.948755140031963</v>
      </c>
      <c r="W24" s="261" t="s">
        <v>424</v>
      </c>
      <c r="X24" s="253">
        <f t="shared" ref="X24" si="4">X25+X26+X27+X32+X33</f>
        <v>0</v>
      </c>
      <c r="Y24" s="253" t="s">
        <v>424</v>
      </c>
      <c r="Z24" s="261">
        <f>Z25+Z26+Z27+Z32+Z33</f>
        <v>68.916449121341174</v>
      </c>
      <c r="AA24" s="261" t="s">
        <v>424</v>
      </c>
      <c r="AB24" s="254">
        <f>H24+L24+P24+T24+X24</f>
        <v>111.3654145297522</v>
      </c>
      <c r="AC24" s="264">
        <f>J24+N24+R24+V24+Z24</f>
        <v>205.32246101737312</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441.59329579039348</v>
      </c>
      <c r="D27" s="261">
        <v>187.78057449030945</v>
      </c>
      <c r="E27" s="264">
        <f>J27+N27+R27+V27+Z27+AE27</f>
        <v>172.49618377194301</v>
      </c>
      <c r="F27" s="264">
        <f t="shared" ref="F27:F68" si="8">N27+R27+V27+Z27+AE27</f>
        <v>134.23109479869709</v>
      </c>
      <c r="G27" s="253">
        <v>1.6239172775019703</v>
      </c>
      <c r="H27" s="253">
        <f>SUM(H28:H31)</f>
        <v>9.0832758975289707</v>
      </c>
      <c r="I27" s="253" t="s">
        <v>424</v>
      </c>
      <c r="J27" s="261">
        <f>SUM(J28:J31)</f>
        <v>38.265088973245909</v>
      </c>
      <c r="K27" s="261" t="s">
        <v>424</v>
      </c>
      <c r="L27" s="253">
        <f>SUM(L28:L31)</f>
        <v>0</v>
      </c>
      <c r="M27" s="253" t="s">
        <v>424</v>
      </c>
      <c r="N27" s="261">
        <f>SUM(N28:N31)</f>
        <v>20.734098994999993</v>
      </c>
      <c r="O27" s="261" t="s">
        <v>424</v>
      </c>
      <c r="P27" s="253">
        <f>SUM(P28:P31)</f>
        <v>39.611521015300667</v>
      </c>
      <c r="Q27" s="253" t="s">
        <v>424</v>
      </c>
      <c r="R27" s="261">
        <f>SUM(R28:R31)</f>
        <v>0</v>
      </c>
      <c r="S27" s="261" t="s">
        <v>424</v>
      </c>
      <c r="T27" s="253">
        <f>SUM(T28:T31)</f>
        <v>30.244975397148139</v>
      </c>
      <c r="U27" s="253" t="s">
        <v>424</v>
      </c>
      <c r="V27" s="261">
        <f>SUM(V28:V31)</f>
        <v>55.5156074345891</v>
      </c>
      <c r="W27" s="261" t="s">
        <v>424</v>
      </c>
      <c r="X27" s="253">
        <f>SUM(X28:X31)</f>
        <v>0</v>
      </c>
      <c r="Y27" s="253" t="s">
        <v>424</v>
      </c>
      <c r="Z27" s="261">
        <f>SUM(Z28:Z31)</f>
        <v>57.981388369108004</v>
      </c>
      <c r="AA27" s="261" t="s">
        <v>424</v>
      </c>
      <c r="AB27" s="254">
        <f t="shared" si="6"/>
        <v>78.939772309977769</v>
      </c>
      <c r="AC27" s="264">
        <f t="shared" si="7"/>
        <v>172.49618377194301</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65.215071949841416</v>
      </c>
      <c r="F29" s="264">
        <f t="shared" si="8"/>
        <v>61.694306517037994</v>
      </c>
      <c r="G29" s="254" t="s">
        <v>424</v>
      </c>
      <c r="H29" s="254">
        <v>7.1706678875196594</v>
      </c>
      <c r="I29" s="255" t="s">
        <v>617</v>
      </c>
      <c r="J29" s="263">
        <v>3.5207654328034255</v>
      </c>
      <c r="K29" s="265" t="s">
        <v>619</v>
      </c>
      <c r="L29" s="254">
        <v>0</v>
      </c>
      <c r="M29" s="255">
        <v>0</v>
      </c>
      <c r="N29" s="263">
        <v>16.368250784999994</v>
      </c>
      <c r="O29" s="265" t="s">
        <v>617</v>
      </c>
      <c r="P29" s="254">
        <v>0</v>
      </c>
      <c r="Q29" s="270" t="s">
        <v>617</v>
      </c>
      <c r="R29" s="263">
        <v>0</v>
      </c>
      <c r="S29" s="265">
        <v>0</v>
      </c>
      <c r="T29" s="254">
        <v>0</v>
      </c>
      <c r="U29" s="270" t="s">
        <v>59</v>
      </c>
      <c r="V29" s="263">
        <v>22.170661864304268</v>
      </c>
      <c r="W29" s="265" t="s">
        <v>617</v>
      </c>
      <c r="X29" s="254">
        <v>0</v>
      </c>
      <c r="Y29" s="270">
        <v>0</v>
      </c>
      <c r="Z29" s="263">
        <v>23.155393867733729</v>
      </c>
      <c r="AA29" s="265" t="s">
        <v>59</v>
      </c>
      <c r="AB29" s="254">
        <f t="shared" si="6"/>
        <v>7.1706678875196594</v>
      </c>
      <c r="AC29" s="264">
        <f t="shared" si="7"/>
        <v>65.215071949841416</v>
      </c>
      <c r="AD29" s="204"/>
      <c r="AE29" s="274">
        <v>0</v>
      </c>
      <c r="AF29" s="276">
        <v>0</v>
      </c>
      <c r="AG29" s="278">
        <v>0</v>
      </c>
      <c r="AH29" s="278">
        <v>0</v>
      </c>
    </row>
    <row r="30" spans="1:34" x14ac:dyDescent="0.25">
      <c r="A30" s="58" t="s">
        <v>427</v>
      </c>
      <c r="B30" s="42" t="s">
        <v>164</v>
      </c>
      <c r="C30" s="255" t="s">
        <v>424</v>
      </c>
      <c r="D30" s="265" t="s">
        <v>424</v>
      </c>
      <c r="E30" s="264">
        <f t="shared" si="9"/>
        <v>76.228246775368959</v>
      </c>
      <c r="F30" s="264">
        <f t="shared" si="8"/>
        <v>44.362476350822902</v>
      </c>
      <c r="G30" s="254" t="s">
        <v>424</v>
      </c>
      <c r="H30" s="254">
        <v>0</v>
      </c>
      <c r="I30" s="255">
        <v>0</v>
      </c>
      <c r="J30" s="263">
        <v>31.865770424546056</v>
      </c>
      <c r="K30" s="265" t="s">
        <v>620</v>
      </c>
      <c r="L30" s="254">
        <v>0</v>
      </c>
      <c r="M30" s="255">
        <v>0</v>
      </c>
      <c r="N30" s="263">
        <v>0</v>
      </c>
      <c r="O30" s="265">
        <v>0</v>
      </c>
      <c r="P30" s="254">
        <v>25.777335069961179</v>
      </c>
      <c r="Q30" s="254" t="s">
        <v>617</v>
      </c>
      <c r="R30" s="263">
        <v>0</v>
      </c>
      <c r="S30" s="265">
        <v>0</v>
      </c>
      <c r="T30" s="254">
        <v>19.682022932011918</v>
      </c>
      <c r="U30" s="254" t="s">
        <v>59</v>
      </c>
      <c r="V30" s="263">
        <v>21.699339303906953</v>
      </c>
      <c r="W30" s="265" t="s">
        <v>617</v>
      </c>
      <c r="X30" s="254">
        <v>0</v>
      </c>
      <c r="Y30" s="254">
        <v>0</v>
      </c>
      <c r="Z30" s="263">
        <v>22.663137046915949</v>
      </c>
      <c r="AA30" s="265" t="s">
        <v>59</v>
      </c>
      <c r="AB30" s="254">
        <f t="shared" si="6"/>
        <v>45.459358001973101</v>
      </c>
      <c r="AC30" s="264">
        <f t="shared" si="7"/>
        <v>76.228246775368959</v>
      </c>
      <c r="AD30" s="204"/>
      <c r="AE30" s="274">
        <v>0</v>
      </c>
      <c r="AF30" s="274">
        <v>0</v>
      </c>
      <c r="AG30" s="278">
        <v>0</v>
      </c>
      <c r="AH30" s="278">
        <v>0</v>
      </c>
    </row>
    <row r="31" spans="1:34" x14ac:dyDescent="0.25">
      <c r="A31" s="58" t="s">
        <v>428</v>
      </c>
      <c r="B31" s="42" t="s">
        <v>162</v>
      </c>
      <c r="C31" s="255" t="s">
        <v>424</v>
      </c>
      <c r="D31" s="265" t="s">
        <v>424</v>
      </c>
      <c r="E31" s="264">
        <f t="shared" si="9"/>
        <v>31.052865046732638</v>
      </c>
      <c r="F31" s="264">
        <f t="shared" si="8"/>
        <v>28.174311930836208</v>
      </c>
      <c r="G31" s="254" t="s">
        <v>424</v>
      </c>
      <c r="H31" s="254">
        <v>1.9126080100093112</v>
      </c>
      <c r="I31" s="255" t="s">
        <v>617</v>
      </c>
      <c r="J31" s="263">
        <v>2.8785531158964299</v>
      </c>
      <c r="K31" s="265" t="s">
        <v>621</v>
      </c>
      <c r="L31" s="254">
        <v>0</v>
      </c>
      <c r="M31" s="255">
        <v>0</v>
      </c>
      <c r="N31" s="263">
        <v>4.3658482099999993</v>
      </c>
      <c r="O31" s="265" t="s">
        <v>617</v>
      </c>
      <c r="P31" s="254">
        <v>13.83418594533949</v>
      </c>
      <c r="Q31" s="254" t="s">
        <v>618</v>
      </c>
      <c r="R31" s="263">
        <v>0</v>
      </c>
      <c r="S31" s="265">
        <v>0</v>
      </c>
      <c r="T31" s="254">
        <v>10.56295246513622</v>
      </c>
      <c r="U31" s="254" t="s">
        <v>618</v>
      </c>
      <c r="V31" s="263">
        <v>11.645606266377886</v>
      </c>
      <c r="W31" s="265" t="s">
        <v>618</v>
      </c>
      <c r="X31" s="254">
        <v>0</v>
      </c>
      <c r="Y31" s="254">
        <v>0</v>
      </c>
      <c r="Z31" s="263">
        <v>12.162857454458322</v>
      </c>
      <c r="AA31" s="265" t="s">
        <v>618</v>
      </c>
      <c r="AB31" s="254">
        <f t="shared" si="6"/>
        <v>26.30974642048502</v>
      </c>
      <c r="AC31" s="264">
        <f t="shared" si="7"/>
        <v>31.052865046732638</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86.210885854988476</v>
      </c>
      <c r="D33" s="263">
        <v>360.4036406562588</v>
      </c>
      <c r="E33" s="264">
        <f t="shared" si="9"/>
        <v>32.826277245430113</v>
      </c>
      <c r="F33" s="264">
        <f t="shared" si="8"/>
        <v>25.515028256676036</v>
      </c>
      <c r="G33" s="254">
        <v>16.627999323303403</v>
      </c>
      <c r="H33" s="254">
        <v>15.797642896471022</v>
      </c>
      <c r="I33" s="254" t="str">
        <f>I31</f>
        <v>3;4</v>
      </c>
      <c r="J33" s="263">
        <v>7.3112489887540795</v>
      </c>
      <c r="K33" s="263" t="str">
        <f>K31</f>
        <v>1;2;3</v>
      </c>
      <c r="L33" s="254">
        <v>16.627999323303403</v>
      </c>
      <c r="M33" s="254">
        <f>M31</f>
        <v>0</v>
      </c>
      <c r="N33" s="263">
        <v>4.1468197989999975</v>
      </c>
      <c r="O33" s="263" t="str">
        <f>O31</f>
        <v>3;4</v>
      </c>
      <c r="P33" s="254">
        <v>0</v>
      </c>
      <c r="Q33" s="254" t="str">
        <f>Q31</f>
        <v>2;3;4</v>
      </c>
      <c r="R33" s="263">
        <v>0</v>
      </c>
      <c r="S33" s="263">
        <f>S31</f>
        <v>0</v>
      </c>
      <c r="T33" s="254">
        <v>0</v>
      </c>
      <c r="U33" s="254" t="str">
        <f>U31</f>
        <v>2;3;4</v>
      </c>
      <c r="V33" s="263">
        <v>10.433147705442861</v>
      </c>
      <c r="W33" s="263" t="str">
        <f>W31</f>
        <v>2;3;4</v>
      </c>
      <c r="X33" s="254">
        <v>0</v>
      </c>
      <c r="Y33" s="254">
        <f>Y31</f>
        <v>0</v>
      </c>
      <c r="Z33" s="263">
        <v>10.935060752233177</v>
      </c>
      <c r="AA33" s="263" t="str">
        <f>AA31</f>
        <v>2;3;4</v>
      </c>
      <c r="AB33" s="254">
        <f t="shared" si="6"/>
        <v>32.425642219774424</v>
      </c>
      <c r="AC33" s="264">
        <f t="shared" si="7"/>
        <v>32.826277245430113</v>
      </c>
      <c r="AE33" s="274">
        <v>0</v>
      </c>
      <c r="AF33" s="274">
        <f>AF31</f>
        <v>0</v>
      </c>
      <c r="AG33" s="278">
        <v>0</v>
      </c>
      <c r="AH33" s="278">
        <v>0</v>
      </c>
    </row>
    <row r="34" spans="1:34" ht="47.25" x14ac:dyDescent="0.25">
      <c r="A34" s="60" t="s">
        <v>61</v>
      </c>
      <c r="B34" s="59" t="s">
        <v>170</v>
      </c>
      <c r="C34" s="253">
        <f>SUM(C35:C38)</f>
        <v>448.75352560829691</v>
      </c>
      <c r="D34" s="261">
        <f t="shared" ref="D34:G34" si="10">SUM(D35:D38)</f>
        <v>463.91555931829686</v>
      </c>
      <c r="E34" s="262">
        <f t="shared" si="9"/>
        <v>172.56853205829694</v>
      </c>
      <c r="F34" s="262">
        <f t="shared" si="8"/>
        <v>134.05979704829696</v>
      </c>
      <c r="G34" s="253">
        <f t="shared" si="10"/>
        <v>15.162033709999999</v>
      </c>
      <c r="H34" s="253">
        <f>SUM(H35:H38)</f>
        <v>20.734098994999997</v>
      </c>
      <c r="I34" s="253" t="s">
        <v>424</v>
      </c>
      <c r="J34" s="261">
        <f>SUM(J35:J38)</f>
        <v>38.508735009999988</v>
      </c>
      <c r="K34" s="261" t="s">
        <v>424</v>
      </c>
      <c r="L34" s="253">
        <f>SUM(L35:L38)</f>
        <v>0</v>
      </c>
      <c r="M34" s="253" t="s">
        <v>424</v>
      </c>
      <c r="N34" s="261">
        <f>SUM(N35:N38)</f>
        <v>20.734098994999997</v>
      </c>
      <c r="O34" s="261" t="s">
        <v>424</v>
      </c>
      <c r="P34" s="253">
        <f>SUM(P35:P38)</f>
        <v>55.415989268112682</v>
      </c>
      <c r="Q34" s="253" t="s">
        <v>424</v>
      </c>
      <c r="R34" s="261">
        <f>SUM(R35:R38)</f>
        <v>0</v>
      </c>
      <c r="S34" s="261" t="s">
        <v>424</v>
      </c>
      <c r="T34" s="253">
        <f>SUM(T35:T38)</f>
        <v>57.909708785184286</v>
      </c>
      <c r="U34" s="253" t="s">
        <v>424</v>
      </c>
      <c r="V34" s="261">
        <f>SUM(V35:V38)</f>
        <v>55.415989268112682</v>
      </c>
      <c r="W34" s="261" t="s">
        <v>424</v>
      </c>
      <c r="X34" s="253">
        <f>SUM(X35:X38)</f>
        <v>0</v>
      </c>
      <c r="Y34" s="253" t="s">
        <v>424</v>
      </c>
      <c r="Z34" s="261">
        <f>SUM(Z35:Z38)</f>
        <v>57.909708785184286</v>
      </c>
      <c r="AA34" s="261" t="s">
        <v>424</v>
      </c>
      <c r="AB34" s="254">
        <f t="shared" si="6"/>
        <v>134.05979704829696</v>
      </c>
      <c r="AC34" s="264">
        <f t="shared" si="7"/>
        <v>172.56853205829694</v>
      </c>
      <c r="AD34" s="204"/>
      <c r="AE34" s="273">
        <f>SUM(AE35:AE38)</f>
        <v>0</v>
      </c>
      <c r="AF34" s="273" t="s">
        <v>424</v>
      </c>
      <c r="AG34" s="278">
        <v>0</v>
      </c>
      <c r="AH34" s="278">
        <v>0</v>
      </c>
    </row>
    <row r="35" spans="1:34" x14ac:dyDescent="0.25">
      <c r="A35" s="60" t="s">
        <v>169</v>
      </c>
      <c r="B35" s="42" t="s">
        <v>168</v>
      </c>
      <c r="C35" s="254">
        <v>9.5673796800000002</v>
      </c>
      <c r="D35" s="263">
        <v>20.401732080000002</v>
      </c>
      <c r="E35" s="264">
        <f t="shared" si="9"/>
        <v>0</v>
      </c>
      <c r="F35" s="264">
        <f t="shared" si="8"/>
        <v>0</v>
      </c>
      <c r="G35" s="254">
        <v>10.8343524</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92.170278406878467</v>
      </c>
      <c r="D36" s="263">
        <v>94.078971406878466</v>
      </c>
      <c r="E36" s="264">
        <f t="shared" si="9"/>
        <v>64.902416516878461</v>
      </c>
      <c r="F36" s="264">
        <f t="shared" si="8"/>
        <v>61.251287272565506</v>
      </c>
      <c r="G36" s="254">
        <v>1.908693</v>
      </c>
      <c r="H36" s="254">
        <v>16.368250784999997</v>
      </c>
      <c r="I36" s="254" t="s">
        <v>617</v>
      </c>
      <c r="J36" s="263">
        <v>3.6511292443129584</v>
      </c>
      <c r="K36" s="265" t="s">
        <v>619</v>
      </c>
      <c r="L36" s="254">
        <v>0</v>
      </c>
      <c r="M36" s="254">
        <v>0</v>
      </c>
      <c r="N36" s="263">
        <v>16.368250784999997</v>
      </c>
      <c r="O36" s="265" t="s">
        <v>617</v>
      </c>
      <c r="P36" s="254">
        <v>21.947695103942749</v>
      </c>
      <c r="Q36" s="255" t="s">
        <v>617</v>
      </c>
      <c r="R36" s="263">
        <v>0</v>
      </c>
      <c r="S36" s="265">
        <v>0</v>
      </c>
      <c r="T36" s="254">
        <v>22.935341383622756</v>
      </c>
      <c r="U36" s="255" t="s">
        <v>59</v>
      </c>
      <c r="V36" s="263">
        <v>21.947695103942749</v>
      </c>
      <c r="W36" s="265" t="s">
        <v>617</v>
      </c>
      <c r="X36" s="254">
        <v>0</v>
      </c>
      <c r="Y36" s="255">
        <v>0</v>
      </c>
      <c r="Z36" s="263">
        <v>22.935341383622756</v>
      </c>
      <c r="AA36" s="265" t="s">
        <v>59</v>
      </c>
      <c r="AB36" s="254">
        <f t="shared" si="6"/>
        <v>61.251287272565506</v>
      </c>
      <c r="AC36" s="264">
        <f t="shared" si="7"/>
        <v>64.902416516878461</v>
      </c>
      <c r="AE36" s="274">
        <v>0</v>
      </c>
      <c r="AF36" s="275">
        <v>0</v>
      </c>
      <c r="AG36" s="278">
        <v>0</v>
      </c>
      <c r="AH36" s="278">
        <v>0</v>
      </c>
    </row>
    <row r="37" spans="1:34" x14ac:dyDescent="0.25">
      <c r="A37" s="60" t="s">
        <v>165</v>
      </c>
      <c r="B37" s="42" t="s">
        <v>164</v>
      </c>
      <c r="C37" s="254">
        <v>304.23973447214757</v>
      </c>
      <c r="D37" s="263">
        <v>306.33366167214757</v>
      </c>
      <c r="E37" s="264">
        <f t="shared" si="9"/>
        <v>75.369809982147643</v>
      </c>
      <c r="F37" s="264">
        <f t="shared" si="8"/>
        <v>43.928875181728046</v>
      </c>
      <c r="G37" s="254">
        <v>2.0939272</v>
      </c>
      <c r="H37" s="254">
        <v>0</v>
      </c>
      <c r="I37" s="254">
        <v>0</v>
      </c>
      <c r="J37" s="263">
        <v>31.440934800419598</v>
      </c>
      <c r="K37" s="265" t="s">
        <v>620</v>
      </c>
      <c r="L37" s="254">
        <v>0</v>
      </c>
      <c r="M37" s="254">
        <v>0</v>
      </c>
      <c r="N37" s="263">
        <v>0</v>
      </c>
      <c r="O37" s="265">
        <v>0</v>
      </c>
      <c r="P37" s="254">
        <v>21.481112558300982</v>
      </c>
      <c r="Q37" s="255" t="s">
        <v>617</v>
      </c>
      <c r="R37" s="263">
        <v>0</v>
      </c>
      <c r="S37" s="265">
        <v>0</v>
      </c>
      <c r="T37" s="254">
        <v>22.44776262342706</v>
      </c>
      <c r="U37" s="255" t="s">
        <v>59</v>
      </c>
      <c r="V37" s="263">
        <v>21.481112558300982</v>
      </c>
      <c r="W37" s="265" t="s">
        <v>617</v>
      </c>
      <c r="X37" s="254">
        <v>0</v>
      </c>
      <c r="Y37" s="255">
        <v>0</v>
      </c>
      <c r="Z37" s="263">
        <v>22.44776262342706</v>
      </c>
      <c r="AA37" s="265" t="s">
        <v>59</v>
      </c>
      <c r="AB37" s="254">
        <f t="shared" si="6"/>
        <v>43.928875181728046</v>
      </c>
      <c r="AC37" s="264">
        <f t="shared" si="7"/>
        <v>75.369809982147643</v>
      </c>
      <c r="AE37" s="274">
        <v>0</v>
      </c>
      <c r="AF37" s="275">
        <v>0</v>
      </c>
      <c r="AG37" s="278">
        <v>0</v>
      </c>
      <c r="AH37" s="278">
        <v>0</v>
      </c>
    </row>
    <row r="38" spans="1:34" x14ac:dyDescent="0.25">
      <c r="A38" s="60" t="s">
        <v>163</v>
      </c>
      <c r="B38" s="42" t="s">
        <v>162</v>
      </c>
      <c r="C38" s="254">
        <v>42.776133049270868</v>
      </c>
      <c r="D38" s="263">
        <v>43.101194159270868</v>
      </c>
      <c r="E38" s="264">
        <f t="shared" si="9"/>
        <v>32.296305559270863</v>
      </c>
      <c r="F38" s="264">
        <f t="shared" si="8"/>
        <v>28.879634594003427</v>
      </c>
      <c r="G38" s="254">
        <v>0.32506111000000004</v>
      </c>
      <c r="H38" s="254">
        <v>4.3658482100000002</v>
      </c>
      <c r="I38" s="254" t="s">
        <v>617</v>
      </c>
      <c r="J38" s="263">
        <v>3.4166709652674343</v>
      </c>
      <c r="K38" s="265" t="s">
        <v>621</v>
      </c>
      <c r="L38" s="254">
        <v>0</v>
      </c>
      <c r="M38" s="254">
        <v>0</v>
      </c>
      <c r="N38" s="263">
        <v>4.3658482100000002</v>
      </c>
      <c r="O38" s="265" t="s">
        <v>617</v>
      </c>
      <c r="P38" s="254">
        <v>11.987181605868955</v>
      </c>
      <c r="Q38" s="255" t="s">
        <v>618</v>
      </c>
      <c r="R38" s="263">
        <v>0</v>
      </c>
      <c r="S38" s="265">
        <v>0</v>
      </c>
      <c r="T38" s="254">
        <v>12.526604778134471</v>
      </c>
      <c r="U38" s="255" t="s">
        <v>618</v>
      </c>
      <c r="V38" s="263">
        <v>11.987181605868955</v>
      </c>
      <c r="W38" s="265" t="s">
        <v>618</v>
      </c>
      <c r="X38" s="254">
        <v>0</v>
      </c>
      <c r="Y38" s="255">
        <v>0</v>
      </c>
      <c r="Z38" s="263">
        <v>12.526604778134471</v>
      </c>
      <c r="AA38" s="265" t="s">
        <v>618</v>
      </c>
      <c r="AB38" s="254">
        <f t="shared" si="6"/>
        <v>28.879634594003427</v>
      </c>
      <c r="AC38" s="264">
        <f t="shared" si="7"/>
        <v>32.296305559270863</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66</v>
      </c>
      <c r="D46" s="263">
        <v>58</v>
      </c>
      <c r="E46" s="264">
        <f t="shared" si="9"/>
        <v>49</v>
      </c>
      <c r="F46" s="264">
        <f t="shared" si="8"/>
        <v>45</v>
      </c>
      <c r="G46" s="254">
        <v>2</v>
      </c>
      <c r="H46" s="254">
        <v>20</v>
      </c>
      <c r="I46" s="255" t="s">
        <v>59</v>
      </c>
      <c r="J46" s="263">
        <v>4</v>
      </c>
      <c r="K46" s="265" t="s">
        <v>60</v>
      </c>
      <c r="L46" s="254">
        <v>32</v>
      </c>
      <c r="M46" s="255" t="s">
        <v>59</v>
      </c>
      <c r="N46" s="263">
        <v>17</v>
      </c>
      <c r="O46" s="265" t="s">
        <v>59</v>
      </c>
      <c r="P46" s="254">
        <v>0</v>
      </c>
      <c r="Q46" s="255">
        <v>0</v>
      </c>
      <c r="R46" s="263">
        <v>0</v>
      </c>
      <c r="S46" s="265">
        <v>0</v>
      </c>
      <c r="T46" s="254">
        <v>0</v>
      </c>
      <c r="U46" s="255">
        <v>0</v>
      </c>
      <c r="V46" s="263">
        <v>14</v>
      </c>
      <c r="W46" s="265" t="s">
        <v>59</v>
      </c>
      <c r="X46" s="254">
        <v>0</v>
      </c>
      <c r="Y46" s="255">
        <v>0</v>
      </c>
      <c r="Z46" s="263">
        <v>14</v>
      </c>
      <c r="AA46" s="265" t="s">
        <v>59</v>
      </c>
      <c r="AB46" s="254">
        <f t="shared" si="6"/>
        <v>52</v>
      </c>
      <c r="AC46" s="264">
        <f t="shared" si="7"/>
        <v>49</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66</v>
      </c>
      <c r="D54" s="263">
        <v>58</v>
      </c>
      <c r="E54" s="264">
        <f t="shared" si="9"/>
        <v>49</v>
      </c>
      <c r="F54" s="264">
        <f t="shared" si="8"/>
        <v>45</v>
      </c>
      <c r="G54" s="254">
        <v>2</v>
      </c>
      <c r="H54" s="254">
        <v>20</v>
      </c>
      <c r="I54" s="255" t="s">
        <v>59</v>
      </c>
      <c r="J54" s="263">
        <v>4</v>
      </c>
      <c r="K54" s="265" t="s">
        <v>60</v>
      </c>
      <c r="L54" s="254">
        <v>32</v>
      </c>
      <c r="M54" s="255" t="s">
        <v>59</v>
      </c>
      <c r="N54" s="263">
        <v>17</v>
      </c>
      <c r="O54" s="265" t="s">
        <v>59</v>
      </c>
      <c r="P54" s="254">
        <v>0</v>
      </c>
      <c r="Q54" s="255">
        <v>0</v>
      </c>
      <c r="R54" s="263">
        <v>0</v>
      </c>
      <c r="S54" s="265">
        <v>0</v>
      </c>
      <c r="T54" s="254">
        <v>0</v>
      </c>
      <c r="U54" s="255">
        <v>0</v>
      </c>
      <c r="V54" s="263">
        <v>14</v>
      </c>
      <c r="W54" s="265" t="s">
        <v>59</v>
      </c>
      <c r="X54" s="254">
        <v>0</v>
      </c>
      <c r="Y54" s="255">
        <v>0</v>
      </c>
      <c r="Z54" s="263">
        <v>14</v>
      </c>
      <c r="AA54" s="265" t="s">
        <v>59</v>
      </c>
      <c r="AB54" s="254">
        <f t="shared" si="6"/>
        <v>52</v>
      </c>
      <c r="AC54" s="264">
        <f t="shared" si="7"/>
        <v>49</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443.49533369006355</v>
      </c>
      <c r="D56" s="263">
        <v>463.91555931829697</v>
      </c>
      <c r="E56" s="264">
        <f t="shared" si="9"/>
        <v>282.01991275829698</v>
      </c>
      <c r="F56" s="264">
        <f t="shared" si="8"/>
        <v>260.9752970492919</v>
      </c>
      <c r="G56" s="254">
        <v>6.5426429700000002</v>
      </c>
      <c r="H56" s="254">
        <v>90.941713665837355</v>
      </c>
      <c r="I56" s="255" t="s">
        <v>59</v>
      </c>
      <c r="J56" s="263">
        <v>21.044615709005097</v>
      </c>
      <c r="K56" s="265" t="s">
        <v>60</v>
      </c>
      <c r="L56" s="254">
        <v>170.65797346422625</v>
      </c>
      <c r="M56" s="255" t="s">
        <v>59</v>
      </c>
      <c r="N56" s="263">
        <v>83.439048994999993</v>
      </c>
      <c r="O56" s="265" t="s">
        <v>59</v>
      </c>
      <c r="P56" s="254">
        <v>0</v>
      </c>
      <c r="Q56" s="255">
        <v>0</v>
      </c>
      <c r="R56" s="263">
        <v>0</v>
      </c>
      <c r="S56" s="265">
        <v>0</v>
      </c>
      <c r="T56" s="254">
        <v>0</v>
      </c>
      <c r="U56" s="255">
        <v>0</v>
      </c>
      <c r="V56" s="263">
        <v>86.903165468112675</v>
      </c>
      <c r="W56" s="265" t="s">
        <v>59</v>
      </c>
      <c r="X56" s="254">
        <v>0</v>
      </c>
      <c r="Y56" s="255">
        <v>0</v>
      </c>
      <c r="Z56" s="263">
        <v>90.633082586179228</v>
      </c>
      <c r="AA56" s="265" t="s">
        <v>59</v>
      </c>
      <c r="AB56" s="254">
        <f t="shared" si="6"/>
        <v>261.59968713006361</v>
      </c>
      <c r="AC56" s="264">
        <f t="shared" si="7"/>
        <v>282.01991275829698</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66</v>
      </c>
      <c r="D61" s="263">
        <v>58</v>
      </c>
      <c r="E61" s="264">
        <f t="shared" si="9"/>
        <v>49</v>
      </c>
      <c r="F61" s="264">
        <f t="shared" si="8"/>
        <v>45</v>
      </c>
      <c r="G61" s="254">
        <v>2</v>
      </c>
      <c r="H61" s="254">
        <v>20</v>
      </c>
      <c r="I61" s="255" t="s">
        <v>59</v>
      </c>
      <c r="J61" s="263">
        <v>4</v>
      </c>
      <c r="K61" s="265" t="s">
        <v>60</v>
      </c>
      <c r="L61" s="254">
        <v>32</v>
      </c>
      <c r="M61" s="255" t="s">
        <v>59</v>
      </c>
      <c r="N61" s="263">
        <v>17</v>
      </c>
      <c r="O61" s="265" t="s">
        <v>59</v>
      </c>
      <c r="P61" s="254">
        <v>0</v>
      </c>
      <c r="Q61" s="255">
        <v>0</v>
      </c>
      <c r="R61" s="263">
        <v>0</v>
      </c>
      <c r="S61" s="265">
        <v>0</v>
      </c>
      <c r="T61" s="254">
        <v>0</v>
      </c>
      <c r="U61" s="255">
        <v>0</v>
      </c>
      <c r="V61" s="263">
        <v>14</v>
      </c>
      <c r="W61" s="265" t="s">
        <v>59</v>
      </c>
      <c r="X61" s="254">
        <v>0</v>
      </c>
      <c r="Y61" s="255">
        <v>0</v>
      </c>
      <c r="Z61" s="263">
        <v>14</v>
      </c>
      <c r="AA61" s="265" t="s">
        <v>59</v>
      </c>
      <c r="AB61" s="254">
        <f t="shared" si="6"/>
        <v>52</v>
      </c>
      <c r="AC61" s="264">
        <f t="shared" si="7"/>
        <v>49</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5" t="s">
        <v>448</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3"/>
      <c r="C72" s="453"/>
      <c r="D72" s="453"/>
      <c r="E72" s="453"/>
      <c r="F72" s="453"/>
      <c r="G72" s="453"/>
      <c r="H72" s="453"/>
      <c r="I72" s="453"/>
      <c r="J72" s="196"/>
      <c r="K72" s="196"/>
    </row>
    <row r="74" spans="1:34" ht="36.75" customHeight="1" x14ac:dyDescent="0.25">
      <c r="B74" s="452"/>
      <c r="C74" s="452"/>
      <c r="D74" s="452"/>
      <c r="E74" s="452"/>
      <c r="F74" s="452"/>
      <c r="G74" s="452"/>
      <c r="H74" s="452"/>
      <c r="I74" s="452"/>
      <c r="J74" s="195"/>
      <c r="K74" s="195"/>
    </row>
    <row r="75" spans="1:34" x14ac:dyDescent="0.25">
      <c r="B75" s="56"/>
      <c r="C75" s="256"/>
      <c r="D75" s="266"/>
      <c r="E75" s="266"/>
      <c r="F75" s="266"/>
      <c r="N75" s="200"/>
    </row>
    <row r="76" spans="1:34" ht="51" customHeight="1" x14ac:dyDescent="0.25">
      <c r="B76" s="452"/>
      <c r="C76" s="452"/>
      <c r="D76" s="452"/>
      <c r="E76" s="452"/>
      <c r="F76" s="452"/>
      <c r="G76" s="452"/>
      <c r="H76" s="452"/>
      <c r="I76" s="452"/>
      <c r="J76" s="195"/>
      <c r="K76" s="195"/>
      <c r="N76" s="200"/>
    </row>
    <row r="77" spans="1:34" ht="32.25" customHeight="1" x14ac:dyDescent="0.25">
      <c r="B77" s="453"/>
      <c r="C77" s="453"/>
      <c r="D77" s="453"/>
      <c r="E77" s="453"/>
      <c r="F77" s="453"/>
      <c r="G77" s="453"/>
      <c r="H77" s="453"/>
      <c r="I77" s="453"/>
      <c r="J77" s="196"/>
      <c r="K77" s="196"/>
    </row>
    <row r="78" spans="1:34" ht="51.75" customHeight="1" x14ac:dyDescent="0.25">
      <c r="B78" s="452"/>
      <c r="C78" s="452"/>
      <c r="D78" s="452"/>
      <c r="E78" s="452"/>
      <c r="F78" s="452"/>
      <c r="G78" s="452"/>
      <c r="H78" s="452"/>
      <c r="I78" s="452"/>
      <c r="J78" s="195"/>
      <c r="K78" s="195"/>
    </row>
    <row r="79" spans="1:34" ht="21.75" customHeight="1" x14ac:dyDescent="0.25">
      <c r="B79" s="454"/>
      <c r="C79" s="454"/>
      <c r="D79" s="454"/>
      <c r="E79" s="454"/>
      <c r="F79" s="454"/>
      <c r="G79" s="454"/>
      <c r="H79" s="454"/>
      <c r="I79" s="454"/>
      <c r="J79" s="197"/>
      <c r="K79" s="197"/>
      <c r="L79" s="55"/>
      <c r="M79" s="55"/>
    </row>
    <row r="80" spans="1:34" ht="23.25" customHeight="1" x14ac:dyDescent="0.25">
      <c r="B80" s="55"/>
      <c r="C80" s="257"/>
      <c r="D80" s="267"/>
      <c r="E80" s="267"/>
      <c r="F80" s="267"/>
    </row>
    <row r="81" spans="2:11" ht="18.75" customHeight="1" x14ac:dyDescent="0.25">
      <c r="B81" s="451"/>
      <c r="C81" s="451"/>
      <c r="D81" s="451"/>
      <c r="E81" s="451"/>
      <c r="F81" s="451"/>
      <c r="G81" s="451"/>
      <c r="H81" s="451"/>
      <c r="I81" s="451"/>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O36" zoomScale="85" zoomScaleSheetLayoutView="85" workbookViewId="0">
      <selection activeCell="BD36"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M_00.0002.000002</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506</v>
      </c>
      <c r="AY22" s="456" t="s">
        <v>507</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5" t="s">
        <v>13</v>
      </c>
      <c r="AG24" s="149" t="s">
        <v>431</v>
      </c>
      <c r="AH24" s="115" t="s">
        <v>12</v>
      </c>
      <c r="AI24" s="116" t="s">
        <v>1</v>
      </c>
      <c r="AJ24" s="116"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47453</v>
      </c>
      <c r="E26" s="173">
        <v>58</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476825.25932999997</v>
      </c>
      <c r="Q26" s="173" t="s">
        <v>424</v>
      </c>
      <c r="R26" s="175">
        <f>SUM(R27:R86)</f>
        <v>476454.83113999997</v>
      </c>
      <c r="S26" s="173" t="s">
        <v>424</v>
      </c>
      <c r="T26" s="173" t="s">
        <v>424</v>
      </c>
      <c r="U26" s="173" t="s">
        <v>424</v>
      </c>
      <c r="V26" s="173" t="s">
        <v>424</v>
      </c>
      <c r="W26" s="173" t="s">
        <v>424</v>
      </c>
      <c r="X26" s="173" t="s">
        <v>424</v>
      </c>
      <c r="Y26" s="173" t="s">
        <v>424</v>
      </c>
      <c r="Z26" s="173" t="s">
        <v>424</v>
      </c>
      <c r="AA26" s="173" t="s">
        <v>424</v>
      </c>
      <c r="AB26" s="175">
        <f>SUM(AB27:AB86)</f>
        <v>388125.93848000001</v>
      </c>
      <c r="AC26" s="173" t="s">
        <v>424</v>
      </c>
      <c r="AD26" s="175">
        <f>SUM(AD27:AD86)</f>
        <v>408970.73888035031</v>
      </c>
      <c r="AE26" s="175">
        <f>SUM(AE27:AE86)</f>
        <v>72442.462480350339</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251085.01537000001</v>
      </c>
      <c r="AY26" s="175">
        <f t="shared" si="46"/>
        <v>340237.72057999996</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511</v>
      </c>
      <c r="N27" s="205" t="s">
        <v>512</v>
      </c>
      <c r="O27" s="205" t="s">
        <v>513</v>
      </c>
      <c r="P27" s="206">
        <v>5519</v>
      </c>
      <c r="Q27" s="205" t="s">
        <v>514</v>
      </c>
      <c r="R27" s="206">
        <v>5518.6303699999999</v>
      </c>
      <c r="S27" s="205" t="s">
        <v>515</v>
      </c>
      <c r="T27" s="205" t="s">
        <v>515</v>
      </c>
      <c r="U27" s="205">
        <v>4</v>
      </c>
      <c r="V27" s="205">
        <v>1</v>
      </c>
      <c r="W27" s="205" t="s">
        <v>516</v>
      </c>
      <c r="X27" s="205">
        <v>5518.6303699999999</v>
      </c>
      <c r="Y27" s="205" t="s">
        <v>517</v>
      </c>
      <c r="Z27" s="205">
        <v>1</v>
      </c>
      <c r="AA27" s="205">
        <v>5518.6303699999999</v>
      </c>
      <c r="AB27" s="206">
        <v>5518.6303699999999</v>
      </c>
      <c r="AC27" s="205" t="s">
        <v>516</v>
      </c>
      <c r="AD27" s="206">
        <v>6622.3564399999996</v>
      </c>
      <c r="AE27" s="247">
        <f>IF(IFERROR(AD27-AY27,"нд")&lt;0,0,IFERROR(AD27-AY27,"нд"))</f>
        <v>0</v>
      </c>
      <c r="AF27" s="205">
        <v>32312046660</v>
      </c>
      <c r="AG27" s="205" t="s">
        <v>518</v>
      </c>
      <c r="AH27" s="205" t="s">
        <v>519</v>
      </c>
      <c r="AI27" s="207">
        <v>44957</v>
      </c>
      <c r="AJ27" s="207">
        <v>44946</v>
      </c>
      <c r="AK27" s="207">
        <v>44965</v>
      </c>
      <c r="AL27" s="207">
        <v>44977</v>
      </c>
      <c r="AM27" s="205" t="s">
        <v>424</v>
      </c>
      <c r="AN27" s="205" t="s">
        <v>424</v>
      </c>
      <c r="AO27" s="205" t="s">
        <v>424</v>
      </c>
      <c r="AP27" s="205" t="s">
        <v>424</v>
      </c>
      <c r="AQ27" s="207">
        <v>44997</v>
      </c>
      <c r="AR27" s="207">
        <v>44995</v>
      </c>
      <c r="AS27" s="207">
        <v>44995</v>
      </c>
      <c r="AT27" s="207">
        <v>44995</v>
      </c>
      <c r="AU27" s="207">
        <v>45243</v>
      </c>
      <c r="AV27" s="205" t="s">
        <v>424</v>
      </c>
      <c r="AW27" s="205" t="s">
        <v>424</v>
      </c>
      <c r="AX27" s="208">
        <v>5518.6303699999999</v>
      </c>
      <c r="AY27" s="208">
        <v>6622.3564400000005</v>
      </c>
      <c r="AZ27" s="206" t="s">
        <v>520</v>
      </c>
      <c r="BA27" s="206" t="s">
        <v>521</v>
      </c>
      <c r="BB27" s="206" t="s">
        <v>516</v>
      </c>
      <c r="BC27" s="206" t="s">
        <v>522</v>
      </c>
      <c r="BD27" s="206" t="str">
        <f>CONCATENATE(BB27,", ",BA27,", ",N27,", ","договор № ",BC27)</f>
        <v>АКЦИОНЕРНОЕ ОБЩЕСТВО "РЕМОНТЭНЕРГОМОНТАЖ И СЕРВИС", СМР, Выполнение   строительно-монтажных и пусконаладочных работ по проекту "Реконструкция ПС 220 кВ Урожай в части замены ячеек выключателей 220 кВ (8 шт.) с выполнением сопутствующего объема работ, договор № ИП-23-00050 от 10.03.2023</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523</v>
      </c>
      <c r="N28" s="205" t="s">
        <v>524</v>
      </c>
      <c r="O28" s="205" t="s">
        <v>513</v>
      </c>
      <c r="P28" s="206">
        <v>46586.77</v>
      </c>
      <c r="Q28" s="205" t="s">
        <v>514</v>
      </c>
      <c r="R28" s="206">
        <v>46484.6</v>
      </c>
      <c r="S28" s="205" t="s">
        <v>525</v>
      </c>
      <c r="T28" s="205" t="s">
        <v>525</v>
      </c>
      <c r="U28" s="205">
        <v>3</v>
      </c>
      <c r="V28" s="205">
        <v>1</v>
      </c>
      <c r="W28" s="205" t="s">
        <v>526</v>
      </c>
      <c r="X28" s="205">
        <v>46484.6</v>
      </c>
      <c r="Y28" s="205" t="s">
        <v>517</v>
      </c>
      <c r="Z28" s="205">
        <v>1</v>
      </c>
      <c r="AA28" s="205">
        <v>46484.6</v>
      </c>
      <c r="AB28" s="206">
        <v>46484.6</v>
      </c>
      <c r="AC28" s="205" t="s">
        <v>526</v>
      </c>
      <c r="AD28" s="206">
        <v>68834.460000000006</v>
      </c>
      <c r="AE28" s="247">
        <f t="shared" ref="AE28:AE86" si="49">IF(IFERROR(AD28-AY28,"нд")&lt;0,0,IFERROR(AD28-AY28,"нд"))</f>
        <v>8522.4024000000136</v>
      </c>
      <c r="AF28" s="205">
        <v>31907796061</v>
      </c>
      <c r="AG28" s="205" t="s">
        <v>518</v>
      </c>
      <c r="AH28" s="205" t="s">
        <v>527</v>
      </c>
      <c r="AI28" s="207">
        <v>43585</v>
      </c>
      <c r="AJ28" s="207">
        <v>43580</v>
      </c>
      <c r="AK28" s="207">
        <v>43585</v>
      </c>
      <c r="AL28" s="207">
        <v>43599</v>
      </c>
      <c r="AM28" s="205" t="s">
        <v>424</v>
      </c>
      <c r="AN28" s="205" t="s">
        <v>424</v>
      </c>
      <c r="AO28" s="205" t="s">
        <v>424</v>
      </c>
      <c r="AP28" s="205" t="s">
        <v>424</v>
      </c>
      <c r="AQ28" s="207">
        <v>43619</v>
      </c>
      <c r="AR28" s="207">
        <v>43633</v>
      </c>
      <c r="AS28" s="207">
        <v>43619</v>
      </c>
      <c r="AT28" s="207">
        <v>43619</v>
      </c>
      <c r="AU28" s="207">
        <v>43824</v>
      </c>
      <c r="AV28" s="205" t="s">
        <v>424</v>
      </c>
      <c r="AW28" s="205" t="s">
        <v>424</v>
      </c>
      <c r="AX28" s="206">
        <v>2948.0218400000003</v>
      </c>
      <c r="AY28" s="206">
        <v>60312.057599999993</v>
      </c>
      <c r="AZ28" s="206" t="s">
        <v>520</v>
      </c>
      <c r="BA28" s="206" t="s">
        <v>521</v>
      </c>
      <c r="BB28" s="206" t="s">
        <v>526</v>
      </c>
      <c r="BC28" s="206" t="s">
        <v>528</v>
      </c>
      <c r="BD28" s="206" t="str">
        <f t="shared" ref="BD28:BD86" si="50">CONCATENATE(BB28,", ",BA28,", ",N28,", ","договор № ",BC28)</f>
        <v>АО "РЭМиС", СМР, Проектно-изыскательские, строительно-монтажные и пусконаладочные работы по реконструкции ПС 220 кВ Урожай в части замены ячеек выключателей 220 кВ (8 шт.) и выполнением сопутствующего объема работ, договор № ИП-19-00101 от 17.06.2019</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529</v>
      </c>
      <c r="N29" s="205" t="s">
        <v>530</v>
      </c>
      <c r="O29" s="205" t="s">
        <v>513</v>
      </c>
      <c r="P29" s="206">
        <v>80304.5</v>
      </c>
      <c r="Q29" s="205" t="s">
        <v>514</v>
      </c>
      <c r="R29" s="206">
        <v>80304.5</v>
      </c>
      <c r="S29" s="205" t="s">
        <v>531</v>
      </c>
      <c r="T29" s="205" t="s">
        <v>531</v>
      </c>
      <c r="U29" s="205">
        <v>3</v>
      </c>
      <c r="V29" s="205">
        <v>1</v>
      </c>
      <c r="W29" s="205" t="s">
        <v>532</v>
      </c>
      <c r="X29" s="205">
        <v>79497.5</v>
      </c>
      <c r="Y29" s="205" t="s">
        <v>532</v>
      </c>
      <c r="Z29" s="205" t="s">
        <v>424</v>
      </c>
      <c r="AA29" s="205">
        <v>79497.5</v>
      </c>
      <c r="AB29" s="206">
        <v>79497.5</v>
      </c>
      <c r="AC29" s="205" t="s">
        <v>532</v>
      </c>
      <c r="AD29" s="206">
        <v>23546.770548350331</v>
      </c>
      <c r="AE29" s="247">
        <f t="shared" si="49"/>
        <v>16322.770548350331</v>
      </c>
      <c r="AF29" s="205">
        <v>32312047397</v>
      </c>
      <c r="AG29" s="205" t="s">
        <v>518</v>
      </c>
      <c r="AH29" s="205" t="s">
        <v>519</v>
      </c>
      <c r="AI29" s="207">
        <v>44957</v>
      </c>
      <c r="AJ29" s="207">
        <v>44946</v>
      </c>
      <c r="AK29" s="207">
        <v>44963</v>
      </c>
      <c r="AL29" s="207">
        <v>44979</v>
      </c>
      <c r="AM29" s="205" t="s">
        <v>424</v>
      </c>
      <c r="AN29" s="205" t="s">
        <v>424</v>
      </c>
      <c r="AO29" s="205" t="s">
        <v>424</v>
      </c>
      <c r="AP29" s="205" t="s">
        <v>424</v>
      </c>
      <c r="AQ29" s="207">
        <v>44999</v>
      </c>
      <c r="AR29" s="207">
        <v>44982</v>
      </c>
      <c r="AS29" s="207">
        <v>44999</v>
      </c>
      <c r="AT29" s="207">
        <v>44982</v>
      </c>
      <c r="AU29" s="207">
        <v>45061</v>
      </c>
      <c r="AV29" s="205" t="s">
        <v>424</v>
      </c>
      <c r="AW29" s="205" t="s">
        <v>424</v>
      </c>
      <c r="AX29" s="206">
        <v>6020</v>
      </c>
      <c r="AY29" s="206">
        <v>7224</v>
      </c>
      <c r="AZ29" s="206" t="s">
        <v>533</v>
      </c>
      <c r="BA29" s="206" t="s">
        <v>529</v>
      </c>
      <c r="BB29" s="206" t="s">
        <v>534</v>
      </c>
      <c r="BC29" s="206" t="s">
        <v>535</v>
      </c>
      <c r="BD29" s="206" t="str">
        <f t="shared" si="50"/>
        <v>Общество с ограниченной ответственностью "Инженерный центр Сибири", ТМЦ, Поставка разъединителей 110-220 кВ, договор № ПД-23-00052 от 14.03.2023</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523</v>
      </c>
      <c r="N30" s="205" t="s">
        <v>536</v>
      </c>
      <c r="O30" s="205" t="s">
        <v>513</v>
      </c>
      <c r="P30" s="206">
        <v>1680.7518</v>
      </c>
      <c r="Q30" s="205" t="s">
        <v>514</v>
      </c>
      <c r="R30" s="206">
        <v>1680.7518</v>
      </c>
      <c r="S30" s="205" t="s">
        <v>537</v>
      </c>
      <c r="T30" s="205" t="s">
        <v>537</v>
      </c>
      <c r="U30" s="205" t="s">
        <v>424</v>
      </c>
      <c r="V30" s="205" t="s">
        <v>424</v>
      </c>
      <c r="W30" s="205" t="s">
        <v>424</v>
      </c>
      <c r="X30" s="205" t="s">
        <v>424</v>
      </c>
      <c r="Y30" s="205" t="s">
        <v>424</v>
      </c>
      <c r="Z30" s="205" t="s">
        <v>424</v>
      </c>
      <c r="AA30" s="205" t="s">
        <v>424</v>
      </c>
      <c r="AB30" s="206" t="s">
        <v>424</v>
      </c>
      <c r="AC30" s="205" t="s">
        <v>516</v>
      </c>
      <c r="AD30" s="206">
        <v>2016.9021599999999</v>
      </c>
      <c r="AE30" s="247">
        <f t="shared" si="49"/>
        <v>9.9999999747524271E-6</v>
      </c>
      <c r="AF30" s="205" t="s">
        <v>517</v>
      </c>
      <c r="AG30" s="205" t="s">
        <v>538</v>
      </c>
      <c r="AH30" s="205" t="s">
        <v>424</v>
      </c>
      <c r="AI30" s="207" t="s">
        <v>424</v>
      </c>
      <c r="AJ30" s="207" t="s">
        <v>424</v>
      </c>
      <c r="AK30" s="207" t="s">
        <v>424</v>
      </c>
      <c r="AL30" s="207" t="s">
        <v>424</v>
      </c>
      <c r="AM30" s="205" t="s">
        <v>539</v>
      </c>
      <c r="AN30" s="205" t="s">
        <v>540</v>
      </c>
      <c r="AO30" s="205">
        <v>44922</v>
      </c>
      <c r="AP30" s="205" t="s">
        <v>541</v>
      </c>
      <c r="AQ30" s="207">
        <v>44952</v>
      </c>
      <c r="AR30" s="207">
        <v>44922</v>
      </c>
      <c r="AS30" s="207">
        <v>44952</v>
      </c>
      <c r="AT30" s="207">
        <v>44922</v>
      </c>
      <c r="AU30" s="207">
        <v>45290</v>
      </c>
      <c r="AV30" s="205" t="s">
        <v>424</v>
      </c>
      <c r="AW30" s="205" t="s">
        <v>424</v>
      </c>
      <c r="AX30" s="206">
        <v>1680.7518</v>
      </c>
      <c r="AY30" s="206">
        <v>2016.9021499999999</v>
      </c>
      <c r="AZ30" s="206" t="s">
        <v>520</v>
      </c>
      <c r="BA30" s="206" t="s">
        <v>521</v>
      </c>
      <c r="BB30" s="206" t="s">
        <v>526</v>
      </c>
      <c r="BC30" s="206" t="s">
        <v>542</v>
      </c>
      <c r="BD30" s="206" t="str">
        <f t="shared" si="50"/>
        <v>АО "РЭМиС", СМР, Выполнение проектно-изыскательских, строительно-монтажных и пуско-наладочных работ по проекту "Реконструкция ПС 220 кВ Урожай в части замены ячеек выключателей 220 кВ (8 шт.) с выполнением сопутствующего объема работ, договор № ИП-22-00419 от 27.12.2022</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543</v>
      </c>
      <c r="N31" s="205" t="s">
        <v>544</v>
      </c>
      <c r="O31" s="205" t="s">
        <v>513</v>
      </c>
      <c r="P31" s="206">
        <v>39787.699000000001</v>
      </c>
      <c r="Q31" s="205" t="s">
        <v>514</v>
      </c>
      <c r="R31" s="206">
        <v>39787.699000000001</v>
      </c>
      <c r="S31" s="205" t="s">
        <v>545</v>
      </c>
      <c r="T31" s="205" t="s">
        <v>545</v>
      </c>
      <c r="U31" s="205" t="s">
        <v>424</v>
      </c>
      <c r="V31" s="205" t="s">
        <v>424</v>
      </c>
      <c r="W31" s="205" t="s">
        <v>424</v>
      </c>
      <c r="X31" s="205" t="s">
        <v>424</v>
      </c>
      <c r="Y31" s="205" t="s">
        <v>424</v>
      </c>
      <c r="Z31" s="205" t="s">
        <v>424</v>
      </c>
      <c r="AA31" s="205" t="s">
        <v>424</v>
      </c>
      <c r="AB31" s="206">
        <v>39787.699999999997</v>
      </c>
      <c r="AC31" s="205" t="s">
        <v>526</v>
      </c>
      <c r="AD31" s="206">
        <v>47745.24</v>
      </c>
      <c r="AE31" s="247">
        <f t="shared" si="49"/>
        <v>818.67338999999629</v>
      </c>
      <c r="AF31" s="205" t="s">
        <v>517</v>
      </c>
      <c r="AG31" s="205" t="s">
        <v>538</v>
      </c>
      <c r="AH31" s="205" t="s">
        <v>424</v>
      </c>
      <c r="AI31" s="207" t="s">
        <v>424</v>
      </c>
      <c r="AJ31" s="207" t="s">
        <v>424</v>
      </c>
      <c r="AK31" s="207" t="s">
        <v>424</v>
      </c>
      <c r="AL31" s="207" t="s">
        <v>424</v>
      </c>
      <c r="AM31" s="205" t="s">
        <v>546</v>
      </c>
      <c r="AN31" s="205" t="s">
        <v>540</v>
      </c>
      <c r="AO31" s="205">
        <v>44173</v>
      </c>
      <c r="AP31" s="205" t="s">
        <v>547</v>
      </c>
      <c r="AQ31" s="207">
        <v>44195</v>
      </c>
      <c r="AR31" s="207">
        <v>44190</v>
      </c>
      <c r="AS31" s="207">
        <v>44195</v>
      </c>
      <c r="AT31" s="207">
        <v>44190</v>
      </c>
      <c r="AU31" s="207">
        <v>44558</v>
      </c>
      <c r="AV31" s="205" t="s">
        <v>424</v>
      </c>
      <c r="AW31" s="205" t="s">
        <v>424</v>
      </c>
      <c r="AX31" s="206">
        <v>47430.55511999999</v>
      </c>
      <c r="AY31" s="206">
        <v>46926.566610000002</v>
      </c>
      <c r="AZ31" s="206" t="s">
        <v>520</v>
      </c>
      <c r="BA31" s="206" t="s">
        <v>521</v>
      </c>
      <c r="BB31" s="206" t="s">
        <v>526</v>
      </c>
      <c r="BC31" s="206" t="s">
        <v>548</v>
      </c>
      <c r="BD31" s="206" t="str">
        <f t="shared" si="50"/>
        <v>АО "РЭМиС", СМР, Реконструкция ПС 220 кВ Урожай в части замены ячеек выключателей 220 кВ (8 шт.) с выполнением сопутствующего объема работ» (в части замены ячеек выключателей В-219, В-220), по Объекту «ПС 220 кВ Урожай», договор № ИП-20-00336 от 25.12.2020</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523</v>
      </c>
      <c r="N32" s="205" t="s">
        <v>549</v>
      </c>
      <c r="O32" s="205" t="s">
        <v>513</v>
      </c>
      <c r="P32" s="206">
        <v>42910</v>
      </c>
      <c r="Q32" s="205" t="s">
        <v>514</v>
      </c>
      <c r="R32" s="206">
        <v>42910.172749999998</v>
      </c>
      <c r="S32" s="205" t="s">
        <v>550</v>
      </c>
      <c r="T32" s="205" t="s">
        <v>550</v>
      </c>
      <c r="U32" s="205">
        <v>3</v>
      </c>
      <c r="V32" s="205">
        <v>1</v>
      </c>
      <c r="W32" s="205" t="s">
        <v>516</v>
      </c>
      <c r="X32" s="205">
        <v>42910.172749999998</v>
      </c>
      <c r="Y32" s="205" t="s">
        <v>517</v>
      </c>
      <c r="Z32" s="205" t="s">
        <v>517</v>
      </c>
      <c r="AA32" s="205">
        <v>42910.172749999998</v>
      </c>
      <c r="AB32" s="206">
        <v>42910.172749999998</v>
      </c>
      <c r="AC32" s="205" t="s">
        <v>526</v>
      </c>
      <c r="AD32" s="206">
        <v>51492.207299999995</v>
      </c>
      <c r="AE32" s="247">
        <f t="shared" si="49"/>
        <v>0</v>
      </c>
      <c r="AF32" s="205">
        <v>32110992238</v>
      </c>
      <c r="AG32" s="205" t="s">
        <v>518</v>
      </c>
      <c r="AH32" s="205" t="s">
        <v>527</v>
      </c>
      <c r="AI32" s="207">
        <v>44561</v>
      </c>
      <c r="AJ32" s="207">
        <v>44557</v>
      </c>
      <c r="AK32" s="207">
        <v>44575</v>
      </c>
      <c r="AL32" s="207">
        <v>44588</v>
      </c>
      <c r="AM32" s="205" t="s">
        <v>424</v>
      </c>
      <c r="AN32" s="205" t="s">
        <v>424</v>
      </c>
      <c r="AO32" s="205" t="s">
        <v>424</v>
      </c>
      <c r="AP32" s="205" t="s">
        <v>424</v>
      </c>
      <c r="AQ32" s="207">
        <v>44608</v>
      </c>
      <c r="AR32" s="207">
        <v>44608</v>
      </c>
      <c r="AS32" s="207">
        <v>44608</v>
      </c>
      <c r="AT32" s="207">
        <v>44608</v>
      </c>
      <c r="AU32" s="207">
        <v>44925</v>
      </c>
      <c r="AV32" s="205" t="s">
        <v>424</v>
      </c>
      <c r="AW32" s="205" t="s">
        <v>424</v>
      </c>
      <c r="AX32" s="206">
        <v>46001.376230000002</v>
      </c>
      <c r="AY32" s="206">
        <v>55201.65148</v>
      </c>
      <c r="AZ32" s="206" t="s">
        <v>520</v>
      </c>
      <c r="BA32" s="206" t="s">
        <v>521</v>
      </c>
      <c r="BB32" s="206" t="s">
        <v>526</v>
      </c>
      <c r="BC32" s="206" t="s">
        <v>551</v>
      </c>
      <c r="BD32" s="206" t="str">
        <f t="shared" si="50"/>
        <v>АО "РЭМиС", СМР, Проектно-изыскательские, строительно-монтажные и пусконаладочные работы, договор № ИП-22-00024 от 16.02.2022</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523</v>
      </c>
      <c r="N33" s="205" t="s">
        <v>552</v>
      </c>
      <c r="O33" s="205" t="s">
        <v>513</v>
      </c>
      <c r="P33" s="206">
        <v>48894.559690000002</v>
      </c>
      <c r="Q33" s="205" t="s">
        <v>514</v>
      </c>
      <c r="R33" s="206">
        <v>48894.559999999998</v>
      </c>
      <c r="S33" s="205" t="s">
        <v>553</v>
      </c>
      <c r="T33" s="205" t="s">
        <v>553</v>
      </c>
      <c r="U33" s="205">
        <v>2</v>
      </c>
      <c r="V33" s="205">
        <v>4</v>
      </c>
      <c r="W33" s="205" t="s">
        <v>554</v>
      </c>
      <c r="X33" s="205" t="s">
        <v>555</v>
      </c>
      <c r="Y33" s="205" t="s">
        <v>556</v>
      </c>
      <c r="Z33" s="205">
        <v>1</v>
      </c>
      <c r="AA33" s="205" t="s">
        <v>557</v>
      </c>
      <c r="AB33" s="206">
        <v>32950</v>
      </c>
      <c r="AC33" s="205" t="s">
        <v>526</v>
      </c>
      <c r="AD33" s="206">
        <v>39540</v>
      </c>
      <c r="AE33" s="247">
        <f t="shared" si="49"/>
        <v>2.180819999994128</v>
      </c>
      <c r="AF33" s="205">
        <v>32008815869</v>
      </c>
      <c r="AG33" s="205" t="s">
        <v>518</v>
      </c>
      <c r="AH33" s="205" t="s">
        <v>527</v>
      </c>
      <c r="AI33" s="207">
        <v>43861</v>
      </c>
      <c r="AJ33" s="207">
        <v>43859</v>
      </c>
      <c r="AK33" s="207">
        <v>43874</v>
      </c>
      <c r="AL33" s="207">
        <v>43896</v>
      </c>
      <c r="AM33" s="205" t="s">
        <v>424</v>
      </c>
      <c r="AN33" s="205" t="s">
        <v>424</v>
      </c>
      <c r="AO33" s="205" t="s">
        <v>424</v>
      </c>
      <c r="AP33" s="205" t="s">
        <v>424</v>
      </c>
      <c r="AQ33" s="207">
        <v>43916</v>
      </c>
      <c r="AR33" s="207">
        <v>43916</v>
      </c>
      <c r="AS33" s="207">
        <v>43916</v>
      </c>
      <c r="AT33" s="207">
        <v>43916</v>
      </c>
      <c r="AU33" s="207">
        <v>44190</v>
      </c>
      <c r="AV33" s="205" t="s">
        <v>424</v>
      </c>
      <c r="AW33" s="205" t="s">
        <v>424</v>
      </c>
      <c r="AX33" s="206">
        <v>32948.182650000002</v>
      </c>
      <c r="AY33" s="206">
        <v>39537.819180000006</v>
      </c>
      <c r="AZ33" s="206" t="s">
        <v>520</v>
      </c>
      <c r="BA33" s="206" t="s">
        <v>521</v>
      </c>
      <c r="BB33" s="206" t="s">
        <v>526</v>
      </c>
      <c r="BC33" s="206" t="s">
        <v>558</v>
      </c>
      <c r="BD33" s="206" t="str">
        <f t="shared" si="50"/>
        <v>АО "РЭМиС", СМР, Выполнение комплекса работ (Проектно-изыскательские, строительно-монтажные, пусконаладочные работы) по реконструкции ПС 220 кВ Урожай в части замены ячеек выключателей 220 кВ (8 шт.) с выполнением сопутствующего объема работ, договор № ИП-20-00079 от 26.03.2020</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559</v>
      </c>
      <c r="N34" s="205" t="s">
        <v>560</v>
      </c>
      <c r="O34" s="205" t="s">
        <v>513</v>
      </c>
      <c r="P34" s="206">
        <v>3944</v>
      </c>
      <c r="Q34" s="205" t="s">
        <v>514</v>
      </c>
      <c r="R34" s="206">
        <v>3944.2903799999999</v>
      </c>
      <c r="S34" s="205" t="s">
        <v>553</v>
      </c>
      <c r="T34" s="205" t="s">
        <v>553</v>
      </c>
      <c r="U34" s="205" t="s">
        <v>424</v>
      </c>
      <c r="V34" s="205">
        <v>2</v>
      </c>
      <c r="W34" s="205" t="s">
        <v>561</v>
      </c>
      <c r="X34" s="205" t="s">
        <v>562</v>
      </c>
      <c r="Y34" s="205" t="s">
        <v>517</v>
      </c>
      <c r="Z34" s="205">
        <v>1</v>
      </c>
      <c r="AA34" s="205">
        <v>3900</v>
      </c>
      <c r="AB34" s="206">
        <v>3900</v>
      </c>
      <c r="AC34" s="205" t="s">
        <v>563</v>
      </c>
      <c r="AD34" s="206">
        <v>4680</v>
      </c>
      <c r="AE34" s="247">
        <f t="shared" si="49"/>
        <v>0</v>
      </c>
      <c r="AF34" s="205">
        <v>32413232751</v>
      </c>
      <c r="AG34" s="205" t="s">
        <v>518</v>
      </c>
      <c r="AH34" s="205" t="s">
        <v>527</v>
      </c>
      <c r="AI34" s="207">
        <v>45322</v>
      </c>
      <c r="AJ34" s="207">
        <v>45322</v>
      </c>
      <c r="AK34" s="207">
        <v>45334</v>
      </c>
      <c r="AL34" s="207">
        <v>45376</v>
      </c>
      <c r="AM34" s="205" t="s">
        <v>424</v>
      </c>
      <c r="AN34" s="205" t="s">
        <v>424</v>
      </c>
      <c r="AO34" s="205" t="s">
        <v>424</v>
      </c>
      <c r="AP34" s="205" t="s">
        <v>424</v>
      </c>
      <c r="AQ34" s="207">
        <v>45412</v>
      </c>
      <c r="AR34" s="207">
        <v>45393</v>
      </c>
      <c r="AS34" s="207">
        <v>45412</v>
      </c>
      <c r="AT34" s="207">
        <v>45393</v>
      </c>
      <c r="AU34" s="207">
        <v>45657</v>
      </c>
      <c r="AV34" s="205" t="s">
        <v>424</v>
      </c>
      <c r="AW34" s="205" t="s">
        <v>424</v>
      </c>
      <c r="AX34" s="206">
        <v>3900</v>
      </c>
      <c r="AY34" s="206">
        <v>4680</v>
      </c>
      <c r="AZ34" s="206" t="s">
        <v>520</v>
      </c>
      <c r="BA34" s="206" t="s">
        <v>559</v>
      </c>
      <c r="BB34" s="206" t="s">
        <v>563</v>
      </c>
      <c r="BC34" s="206" t="s">
        <v>564</v>
      </c>
      <c r="BD34" s="206" t="str">
        <f t="shared" si="50"/>
        <v>ОБЩЕСТВО С ОГРАНИЧЕННОЙ ОТВЕТСТВЕННОСТЬЮ "ПРОЕКТНЫЙ ЦЕНТР СИБИРИ", ПИР, Выполнение проектно-изыскательских работ по проекту "Реконструкция ПС 220 кВ Урожай в части замены ячеек выключателей 220 кВ (8 шт.) с выполнением сопутствующего объема работ (в части 2ПК В-220 1АТ и 2ПК В-220 2АТ)", договор № ИП-24-00062 от 11.04.2024</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521</v>
      </c>
      <c r="N35" s="205" t="s">
        <v>565</v>
      </c>
      <c r="O35" s="205" t="s">
        <v>513</v>
      </c>
      <c r="P35" s="206">
        <v>8820</v>
      </c>
      <c r="Q35" s="205" t="s">
        <v>514</v>
      </c>
      <c r="R35" s="206">
        <v>8552.1211999999996</v>
      </c>
      <c r="S35" s="205" t="s">
        <v>553</v>
      </c>
      <c r="T35" s="205" t="s">
        <v>553</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v>32413447492</v>
      </c>
      <c r="AG35" s="205" t="s">
        <v>518</v>
      </c>
      <c r="AH35" s="205" t="s">
        <v>527</v>
      </c>
      <c r="AI35" s="207">
        <v>45382</v>
      </c>
      <c r="AJ35" s="207">
        <v>45380</v>
      </c>
      <c r="AK35" s="207">
        <v>45415</v>
      </c>
      <c r="AL35" s="207">
        <v>45426</v>
      </c>
      <c r="AM35" s="205" t="s">
        <v>424</v>
      </c>
      <c r="AN35" s="205" t="s">
        <v>424</v>
      </c>
      <c r="AO35" s="205" t="s">
        <v>424</v>
      </c>
      <c r="AP35" s="205" t="s">
        <v>424</v>
      </c>
      <c r="AQ35" s="207">
        <v>45443</v>
      </c>
      <c r="AR35" s="207" t="s">
        <v>424</v>
      </c>
      <c r="AS35" s="207">
        <v>45443</v>
      </c>
      <c r="AT35" s="207" t="s">
        <v>424</v>
      </c>
      <c r="AU35" s="207">
        <v>45688</v>
      </c>
      <c r="AV35" s="205" t="s">
        <v>424</v>
      </c>
      <c r="AW35" s="205" t="s">
        <v>566</v>
      </c>
      <c r="AX35" s="206">
        <v>0</v>
      </c>
      <c r="AY35" s="206">
        <v>0</v>
      </c>
      <c r="AZ35" s="206" t="s">
        <v>520</v>
      </c>
      <c r="BA35" s="206" t="s">
        <v>521</v>
      </c>
      <c r="BB35" s="206" t="s">
        <v>517</v>
      </c>
      <c r="BC35" s="206" t="s">
        <v>567</v>
      </c>
      <c r="BD35" s="206" t="str">
        <f t="shared" si="50"/>
        <v>-, СМР, Выполнение строительно-монтажных работ по проекту "Реконструкция ПС 220 кВ Урожай в части замены ячеек выключателей 220 кВ (8 шт.) с выполнением сопутствующего объема работ (в части 2ПК ШСВ-220  и замены ОР-В-291)", договор № Закупочная процедура признана несостоявшейся</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559</v>
      </c>
      <c r="N36" s="205" t="s">
        <v>568</v>
      </c>
      <c r="O36" s="205" t="s">
        <v>513</v>
      </c>
      <c r="P36" s="206">
        <v>7971</v>
      </c>
      <c r="Q36" s="205" t="s">
        <v>514</v>
      </c>
      <c r="R36" s="206">
        <v>7970.5267999999996</v>
      </c>
      <c r="S36" s="205" t="s">
        <v>553</v>
      </c>
      <c r="T36" s="205" t="s">
        <v>553</v>
      </c>
      <c r="U36" s="205">
        <v>3</v>
      </c>
      <c r="V36" s="205">
        <v>4</v>
      </c>
      <c r="W36" s="205" t="s">
        <v>569</v>
      </c>
      <c r="X36" s="205" t="s">
        <v>570</v>
      </c>
      <c r="Y36" s="205" t="s">
        <v>424</v>
      </c>
      <c r="Z36" s="205">
        <v>1</v>
      </c>
      <c r="AA36" s="205" t="s">
        <v>571</v>
      </c>
      <c r="AB36" s="206">
        <v>6934.3523999999998</v>
      </c>
      <c r="AC36" s="205" t="s">
        <v>572</v>
      </c>
      <c r="AD36" s="206">
        <v>8321.2228799999993</v>
      </c>
      <c r="AE36" s="247">
        <f t="shared" si="49"/>
        <v>0</v>
      </c>
      <c r="AF36" s="205">
        <v>32413526568</v>
      </c>
      <c r="AG36" s="205" t="s">
        <v>518</v>
      </c>
      <c r="AH36" s="205" t="s">
        <v>527</v>
      </c>
      <c r="AI36" s="207">
        <v>45412</v>
      </c>
      <c r="AJ36" s="207">
        <v>45401</v>
      </c>
      <c r="AK36" s="207">
        <v>45415</v>
      </c>
      <c r="AL36" s="207">
        <v>45443</v>
      </c>
      <c r="AM36" s="205" t="s">
        <v>424</v>
      </c>
      <c r="AN36" s="205" t="s">
        <v>424</v>
      </c>
      <c r="AO36" s="205" t="s">
        <v>424</v>
      </c>
      <c r="AP36" s="205" t="s">
        <v>424</v>
      </c>
      <c r="AQ36" s="207">
        <v>45473</v>
      </c>
      <c r="AR36" s="207">
        <v>45463</v>
      </c>
      <c r="AS36" s="207">
        <v>45473</v>
      </c>
      <c r="AT36" s="207">
        <v>45463</v>
      </c>
      <c r="AU36" s="207">
        <v>45657</v>
      </c>
      <c r="AV36" s="205" t="s">
        <v>424</v>
      </c>
      <c r="AW36" s="205" t="s">
        <v>424</v>
      </c>
      <c r="AX36" s="206">
        <v>6934.3523999999998</v>
      </c>
      <c r="AY36" s="206">
        <v>8321.2228799999993</v>
      </c>
      <c r="AZ36" s="206" t="s">
        <v>520</v>
      </c>
      <c r="BA36" s="206" t="s">
        <v>559</v>
      </c>
      <c r="BB36" s="206" t="s">
        <v>424</v>
      </c>
      <c r="BC36" s="206" t="s">
        <v>573</v>
      </c>
      <c r="BD36" s="206" t="str">
        <f t="shared" si="50"/>
        <v>нд, ПИР, Выполнение проектно-изыскательских работ по проекту "Реконструкция ПС 220 кВ Урожай в части замены ячеек выключателей 220 кВ (8 шт.) с выполнением сопутствующего объема работ (в части 2ПК В-219, 2ПК В-220, 2ПК В-221, 2ПК В-222)", договор № ИП-24-00134 от 20.06.2024</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521</v>
      </c>
      <c r="N37" s="205" t="s">
        <v>565</v>
      </c>
      <c r="O37" s="205" t="s">
        <v>513</v>
      </c>
      <c r="P37" s="206">
        <v>10543.14</v>
      </c>
      <c r="Q37" s="205" t="s">
        <v>514</v>
      </c>
      <c r="R37" s="206">
        <v>10543.14</v>
      </c>
      <c r="S37" s="205" t="s">
        <v>515</v>
      </c>
      <c r="T37" s="205" t="s">
        <v>515</v>
      </c>
      <c r="U37" s="205">
        <v>2</v>
      </c>
      <c r="V37" s="205">
        <v>1</v>
      </c>
      <c r="W37" s="205" t="s">
        <v>574</v>
      </c>
      <c r="X37" s="205">
        <v>10543.14496</v>
      </c>
      <c r="Y37" s="205" t="s">
        <v>424</v>
      </c>
      <c r="Z37" s="205">
        <v>1</v>
      </c>
      <c r="AA37" s="205">
        <v>10543.14496</v>
      </c>
      <c r="AB37" s="206">
        <v>10543.14496</v>
      </c>
      <c r="AC37" s="205" t="s">
        <v>574</v>
      </c>
      <c r="AD37" s="206">
        <v>12651.773952</v>
      </c>
      <c r="AE37" s="247">
        <f t="shared" si="49"/>
        <v>7848.6297119999999</v>
      </c>
      <c r="AF37" s="205">
        <v>32413971490</v>
      </c>
      <c r="AG37" s="205" t="s">
        <v>518</v>
      </c>
      <c r="AH37" s="205" t="s">
        <v>527</v>
      </c>
      <c r="AI37" s="207">
        <v>45565</v>
      </c>
      <c r="AJ37" s="207">
        <v>45544</v>
      </c>
      <c r="AK37" s="207">
        <v>45554</v>
      </c>
      <c r="AL37" s="207">
        <v>45561</v>
      </c>
      <c r="AM37" s="205" t="s">
        <v>424</v>
      </c>
      <c r="AN37" s="205" t="s">
        <v>424</v>
      </c>
      <c r="AO37" s="205" t="s">
        <v>424</v>
      </c>
      <c r="AP37" s="205" t="s">
        <v>424</v>
      </c>
      <c r="AQ37" s="207">
        <v>45581</v>
      </c>
      <c r="AR37" s="207">
        <v>45580</v>
      </c>
      <c r="AS37" s="207">
        <v>20</v>
      </c>
      <c r="AT37" s="207">
        <v>45580</v>
      </c>
      <c r="AU37" s="207">
        <v>45961</v>
      </c>
      <c r="AV37" s="205" t="s">
        <v>424</v>
      </c>
      <c r="AW37" s="205" t="s">
        <v>424</v>
      </c>
      <c r="AX37" s="206">
        <v>10543.144960000001</v>
      </c>
      <c r="AY37" s="206">
        <v>4803.1442399999996</v>
      </c>
      <c r="AZ37" s="206" t="s">
        <v>520</v>
      </c>
      <c r="BA37" s="206" t="s">
        <v>521</v>
      </c>
      <c r="BB37" s="206" t="s">
        <v>574</v>
      </c>
      <c r="BC37" s="206" t="s">
        <v>575</v>
      </c>
      <c r="BD37" s="206" t="str">
        <f t="shared" si="50"/>
        <v>ОБЩЕСТВО С ОГРАНИЧЕННОЙ ОТВЕТСТВЕННОСТЬЮ "ЭКРА-СИБИРЬ", СМР, Выполнение строительно-монтажных работ по проекту "Реконструкция ПС 220 кВ Урожай в части замены ячеек выключателей 220 кВ (8 шт.) с выполнением сопутствующего объема работ (в части 2ПК ШСВ-220  и замены ОР-В-291)", договор № ИП-24-00238 от 15.10.2024</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511</v>
      </c>
      <c r="N38" s="205" t="s">
        <v>576</v>
      </c>
      <c r="O38" s="205" t="s">
        <v>513</v>
      </c>
      <c r="P38" s="206">
        <v>58817.538840000001</v>
      </c>
      <c r="Q38" s="205" t="s">
        <v>514</v>
      </c>
      <c r="R38" s="206">
        <v>58817.538840000001</v>
      </c>
      <c r="S38" s="205" t="s">
        <v>550</v>
      </c>
      <c r="T38" s="205" t="s">
        <v>550</v>
      </c>
      <c r="U38" s="205">
        <v>3</v>
      </c>
      <c r="V38" s="205" t="s">
        <v>424</v>
      </c>
      <c r="W38" s="205" t="s">
        <v>517</v>
      </c>
      <c r="X38" s="205" t="s">
        <v>517</v>
      </c>
      <c r="Y38" s="205" t="s">
        <v>517</v>
      </c>
      <c r="Z38" s="205" t="s">
        <v>517</v>
      </c>
      <c r="AA38" s="205" t="s">
        <v>517</v>
      </c>
      <c r="AB38" s="206" t="s">
        <v>517</v>
      </c>
      <c r="AC38" s="205" t="s">
        <v>517</v>
      </c>
      <c r="AD38" s="206" t="s">
        <v>517</v>
      </c>
      <c r="AE38" s="247" t="str">
        <f t="shared" si="49"/>
        <v>нд</v>
      </c>
      <c r="AF38" s="205">
        <v>32514466442</v>
      </c>
      <c r="AG38" s="205" t="s">
        <v>518</v>
      </c>
      <c r="AH38" s="205" t="s">
        <v>519</v>
      </c>
      <c r="AI38" s="207">
        <v>45688</v>
      </c>
      <c r="AJ38" s="207">
        <v>45688</v>
      </c>
      <c r="AK38" s="207">
        <v>45712</v>
      </c>
      <c r="AL38" s="207">
        <v>45723</v>
      </c>
      <c r="AM38" s="205" t="s">
        <v>424</v>
      </c>
      <c r="AN38" s="205" t="s">
        <v>424</v>
      </c>
      <c r="AO38" s="205" t="s">
        <v>424</v>
      </c>
      <c r="AP38" s="205" t="s">
        <v>424</v>
      </c>
      <c r="AQ38" s="207" t="s">
        <v>517</v>
      </c>
      <c r="AR38" s="207" t="s">
        <v>517</v>
      </c>
      <c r="AS38" s="207" t="s">
        <v>517</v>
      </c>
      <c r="AT38" s="207" t="s">
        <v>517</v>
      </c>
      <c r="AU38" s="207" t="s">
        <v>517</v>
      </c>
      <c r="AV38" s="205" t="s">
        <v>424</v>
      </c>
      <c r="AW38" s="205" t="s">
        <v>424</v>
      </c>
      <c r="AX38" s="206">
        <v>0</v>
      </c>
      <c r="AY38" s="206">
        <v>0</v>
      </c>
      <c r="AZ38" s="206" t="s">
        <v>520</v>
      </c>
      <c r="BA38" s="206" t="s">
        <v>521</v>
      </c>
      <c r="BB38" s="206" t="s">
        <v>517</v>
      </c>
      <c r="BC38" s="206" t="s">
        <v>567</v>
      </c>
      <c r="BD38" s="206" t="str">
        <f t="shared" si="50"/>
        <v>-, СМР, Выполнение строительно-монтажных и пуско-наладочных работ по проектам: "Реконструкция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 (2ПК В-220 1АТ и 2ПК В-220-2АТ), договор № Закупочная процедура признана несостоявшейся</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529</v>
      </c>
      <c r="N39" s="205" t="s">
        <v>577</v>
      </c>
      <c r="O39" s="205" t="s">
        <v>513</v>
      </c>
      <c r="P39" s="206">
        <v>87258.3</v>
      </c>
      <c r="Q39" s="205" t="s">
        <v>514</v>
      </c>
      <c r="R39" s="206">
        <v>87258.3</v>
      </c>
      <c r="S39" s="205" t="s">
        <v>578</v>
      </c>
      <c r="T39" s="205" t="s">
        <v>578</v>
      </c>
      <c r="U39" s="205" t="s">
        <v>424</v>
      </c>
      <c r="V39" s="205">
        <v>1</v>
      </c>
      <c r="W39" s="205" t="s">
        <v>579</v>
      </c>
      <c r="X39" s="205">
        <v>87258.3</v>
      </c>
      <c r="Y39" s="205" t="s">
        <v>424</v>
      </c>
      <c r="Z39" s="205">
        <v>1</v>
      </c>
      <c r="AA39" s="205">
        <v>87160</v>
      </c>
      <c r="AB39" s="206">
        <v>87160</v>
      </c>
      <c r="AC39" s="205" t="s">
        <v>579</v>
      </c>
      <c r="AD39" s="206">
        <v>104592</v>
      </c>
      <c r="AE39" s="247">
        <f t="shared" si="49"/>
        <v>0</v>
      </c>
      <c r="AF39" s="205">
        <v>32312672495</v>
      </c>
      <c r="AG39" s="205" t="s">
        <v>518</v>
      </c>
      <c r="AH39" s="205" t="s">
        <v>527</v>
      </c>
      <c r="AI39" s="207">
        <v>45169</v>
      </c>
      <c r="AJ39" s="207">
        <v>45153</v>
      </c>
      <c r="AK39" s="207">
        <v>45170</v>
      </c>
      <c r="AL39" s="207">
        <v>45181</v>
      </c>
      <c r="AM39" s="205" t="s">
        <v>424</v>
      </c>
      <c r="AN39" s="205" t="s">
        <v>424</v>
      </c>
      <c r="AO39" s="205" t="s">
        <v>424</v>
      </c>
      <c r="AP39" s="205" t="s">
        <v>424</v>
      </c>
      <c r="AQ39" s="207">
        <v>45201</v>
      </c>
      <c r="AR39" s="207">
        <v>45195</v>
      </c>
      <c r="AS39" s="207">
        <v>45201</v>
      </c>
      <c r="AT39" s="207">
        <v>45195</v>
      </c>
      <c r="AU39" s="207">
        <v>45288</v>
      </c>
      <c r="AV39" s="205" t="s">
        <v>424</v>
      </c>
      <c r="AW39" s="205" t="s">
        <v>424</v>
      </c>
      <c r="AX39" s="206">
        <v>87160</v>
      </c>
      <c r="AY39" s="206">
        <v>104592</v>
      </c>
      <c r="AZ39" s="206" t="s">
        <v>533</v>
      </c>
      <c r="BA39" s="206" t="s">
        <v>529</v>
      </c>
      <c r="BB39" s="206" t="s">
        <v>580</v>
      </c>
      <c r="BC39" s="206" t="s">
        <v>581</v>
      </c>
      <c r="BD39" s="206" t="str">
        <f t="shared" si="50"/>
        <v>Общество с ограниченной ответственностью "ИНЖЕНЕРНЫЙ ЦЕНТР СИБИРИ", ТМЦ, Поставка разъединителей на ПС 220 кВ Урожай, договор № ПД-23-00291 от 26.09.2023</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529</v>
      </c>
      <c r="N40" s="205" t="s">
        <v>623</v>
      </c>
      <c r="O40" s="205" t="s">
        <v>513</v>
      </c>
      <c r="P40" s="206">
        <v>33788</v>
      </c>
      <c r="Q40" s="205" t="s">
        <v>514</v>
      </c>
      <c r="R40" s="206">
        <v>33788</v>
      </c>
      <c r="S40" s="205" t="s">
        <v>624</v>
      </c>
      <c r="T40" s="205" t="s">
        <v>624</v>
      </c>
      <c r="U40" s="205">
        <v>3</v>
      </c>
      <c r="V40" s="205">
        <v>1</v>
      </c>
      <c r="W40" s="205" t="s">
        <v>574</v>
      </c>
      <c r="X40" s="205">
        <v>33788</v>
      </c>
      <c r="Y40" s="205" t="s">
        <v>424</v>
      </c>
      <c r="Z40" s="205">
        <v>1</v>
      </c>
      <c r="AA40" s="205">
        <v>32439.838</v>
      </c>
      <c r="AB40" s="206">
        <v>32439.838</v>
      </c>
      <c r="AC40" s="205" t="s">
        <v>574</v>
      </c>
      <c r="AD40" s="206">
        <v>38927.8056</v>
      </c>
      <c r="AE40" s="247">
        <f t="shared" si="49"/>
        <v>38927.8056</v>
      </c>
      <c r="AF40" s="205">
        <v>32515052043</v>
      </c>
      <c r="AG40" s="205" t="s">
        <v>518</v>
      </c>
      <c r="AH40" s="205" t="s">
        <v>519</v>
      </c>
      <c r="AI40" s="207">
        <v>45869</v>
      </c>
      <c r="AJ40" s="207">
        <v>45856</v>
      </c>
      <c r="AK40" s="207">
        <v>45873</v>
      </c>
      <c r="AL40" s="207">
        <v>45881</v>
      </c>
      <c r="AM40" s="205" t="s">
        <v>424</v>
      </c>
      <c r="AN40" s="205" t="s">
        <v>424</v>
      </c>
      <c r="AO40" s="205" t="s">
        <v>424</v>
      </c>
      <c r="AP40" s="205" t="s">
        <v>424</v>
      </c>
      <c r="AQ40" s="207">
        <v>45901</v>
      </c>
      <c r="AR40" s="207">
        <v>45901</v>
      </c>
      <c r="AS40" s="207">
        <v>45901</v>
      </c>
      <c r="AT40" s="207">
        <v>45901</v>
      </c>
      <c r="AU40" s="207">
        <v>45930</v>
      </c>
      <c r="AV40" s="205" t="s">
        <v>424</v>
      </c>
      <c r="AW40" s="205" t="s">
        <v>424</v>
      </c>
      <c r="AX40" s="206">
        <v>0</v>
      </c>
      <c r="AY40" s="206">
        <v>0</v>
      </c>
      <c r="AZ40" s="206" t="s">
        <v>424</v>
      </c>
      <c r="BA40" s="206" t="s">
        <v>529</v>
      </c>
      <c r="BB40" s="206" t="s">
        <v>574</v>
      </c>
      <c r="BC40" s="206" t="s">
        <v>625</v>
      </c>
      <c r="BD40" s="206" t="str">
        <f t="shared" si="50"/>
        <v>ОБЩЕСТВО С ОГРАНИЧЕННОЙ ОТВЕТСТВЕННОСТЬЮ "ЭКРА-СИБИРЬ", ТМЦ, Поставка шкафов РЗА для ПС Урожай																								, договор № ПД-25-00287 от 01.09.2025</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topLeftCell="A90" zoomScale="70" zoomScaleNormal="90" zoomScaleSheetLayoutView="70" workbookViewId="0">
      <selection activeCell="B92" sqref="B92:B97"/>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M_00.0002.000002</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86" t="s">
        <v>403</v>
      </c>
      <c r="B18" s="487"/>
    </row>
    <row r="19" spans="1:2" x14ac:dyDescent="0.25">
      <c r="B19" s="37"/>
    </row>
    <row r="20" spans="1:2" x14ac:dyDescent="0.25">
      <c r="B20" s="110"/>
    </row>
    <row r="21" spans="1:2" x14ac:dyDescent="0.25">
      <c r="A21" s="153" t="s">
        <v>304</v>
      </c>
      <c r="B21" s="153" t="s">
        <v>595</v>
      </c>
    </row>
    <row r="22" spans="1:2" x14ac:dyDescent="0.25">
      <c r="A22" s="153" t="s">
        <v>305</v>
      </c>
      <c r="B22" s="153" t="s">
        <v>600</v>
      </c>
    </row>
    <row r="23" spans="1:2" x14ac:dyDescent="0.25">
      <c r="A23" s="153" t="s">
        <v>287</v>
      </c>
      <c r="B23" s="153" t="s">
        <v>584</v>
      </c>
    </row>
    <row r="24" spans="1:2" x14ac:dyDescent="0.25">
      <c r="A24" s="153" t="s">
        <v>306</v>
      </c>
      <c r="B24" s="153" t="s">
        <v>424</v>
      </c>
    </row>
    <row r="25" spans="1:2" x14ac:dyDescent="0.25">
      <c r="A25" s="154" t="s">
        <v>307</v>
      </c>
      <c r="B25" s="171">
        <v>47453</v>
      </c>
    </row>
    <row r="26" spans="1:2" x14ac:dyDescent="0.25">
      <c r="A26" s="154" t="s">
        <v>308</v>
      </c>
      <c r="B26" s="156" t="s">
        <v>599</v>
      </c>
    </row>
    <row r="27" spans="1:2" x14ac:dyDescent="0.25">
      <c r="A27" s="156" t="str">
        <f>CONCATENATE("Стоимость проекта в прогнозных ценах, млн. руб. с НДС")</f>
        <v>Стоимость проекта в прогнозных ценах, млн. руб. с НДС</v>
      </c>
      <c r="B27" s="167">
        <v>548.18421514656825</v>
      </c>
    </row>
    <row r="28" spans="1:2" ht="93.75" customHeight="1" x14ac:dyDescent="0.25">
      <c r="A28" s="155" t="s">
        <v>309</v>
      </c>
      <c r="B28" s="158" t="s">
        <v>585</v>
      </c>
    </row>
    <row r="29" spans="1:2" ht="28.5" x14ac:dyDescent="0.25">
      <c r="A29" s="156" t="s">
        <v>310</v>
      </c>
      <c r="B29" s="167">
        <f>'7. Паспорт отчет о закупке'!$AB$26*1.2/1000</f>
        <v>465.75112617600001</v>
      </c>
    </row>
    <row r="30" spans="1:2" ht="28.5" x14ac:dyDescent="0.25">
      <c r="A30" s="156" t="s">
        <v>311</v>
      </c>
      <c r="B30" s="167">
        <f>'7. Паспорт отчет о закупке'!$AD$26/1000</f>
        <v>408.97073888035032</v>
      </c>
    </row>
    <row r="31" spans="1:2" x14ac:dyDescent="0.25">
      <c r="A31" s="155" t="s">
        <v>312</v>
      </c>
      <c r="B31" s="157"/>
    </row>
    <row r="32" spans="1:2" ht="28.5" x14ac:dyDescent="0.25">
      <c r="A32" s="156" t="s">
        <v>313</v>
      </c>
      <c r="B32" s="167">
        <f>SUM(SUMIF(B33,"&gt;0",B33),SUMIF(B37,"&gt;0",B37),SUMIF(B41,"&gt;0",B41),SUMIF(B45,"&gt;0",B45),SUMIF(B49,"&gt;0",B49),SUMIF(B53,"&gt;0",B53))</f>
        <v>176.7111659</v>
      </c>
    </row>
    <row r="33" spans="1:2" ht="30" x14ac:dyDescent="0.25">
      <c r="A33" s="164" t="s">
        <v>432</v>
      </c>
      <c r="B33" s="157">
        <f>IFERROR(IF(VLOOKUP(1,'7. Паспорт отчет о закупке'!$A$27:$CD$86,52,0)="ИП",VLOOKUP(1,'7. Паспорт отчет о закупке'!$A$27:$CD$86,30,0)/1000,"нд"),"нд")</f>
        <v>6.6223564399999999</v>
      </c>
    </row>
    <row r="34" spans="1:2" x14ac:dyDescent="0.25">
      <c r="A34" s="164" t="s">
        <v>314</v>
      </c>
      <c r="B34" s="157">
        <f>IF(B33="нд","нд",$B33/$B$27*100)</f>
        <v>1.2080531064232447</v>
      </c>
    </row>
    <row r="35" spans="1:2" x14ac:dyDescent="0.25">
      <c r="A35" s="164" t="s">
        <v>315</v>
      </c>
      <c r="B35" s="157">
        <f>IF(VLOOKUP(1,'7. Паспорт отчет о закупке'!$A$27:$CD$86,52,0)="ИП",VLOOKUP(1,'7. Паспорт отчет о закупке'!$A$27:$CD$86,51,0)/1000,"нд")</f>
        <v>6.6223564400000008</v>
      </c>
    </row>
    <row r="36" spans="1:2" x14ac:dyDescent="0.25">
      <c r="A36" s="164" t="s">
        <v>436</v>
      </c>
      <c r="B36" s="157">
        <f>IF(VLOOKUP(1,'7. Паспорт отчет о закупке'!$A$27:$CD$86,52,0)="ИП",VLOOKUP(1,'7. Паспорт отчет о закупке'!$A$27:$CD$86,50,0)/1000,"нд")</f>
        <v>5.5186303699999995</v>
      </c>
    </row>
    <row r="37" spans="1:2" ht="30" x14ac:dyDescent="0.25">
      <c r="A37" s="164" t="s">
        <v>432</v>
      </c>
      <c r="B37" s="157">
        <f>IF(VLOOKUP(2,'7. Паспорт отчет о закупке'!$A$27:$CD$86,52,0)="ИП",VLOOKUP(2,'7. Паспорт отчет о закупке'!$A$27:$CD$86,30,0)/1000,"нд")</f>
        <v>68.834460000000007</v>
      </c>
    </row>
    <row r="38" spans="1:2" x14ac:dyDescent="0.25">
      <c r="A38" s="164" t="s">
        <v>314</v>
      </c>
      <c r="B38" s="157">
        <f>IF(B37="нд","нд",$B37/$B$27*100)</f>
        <v>12.556811761096718</v>
      </c>
    </row>
    <row r="39" spans="1:2" x14ac:dyDescent="0.25">
      <c r="A39" s="164" t="s">
        <v>315</v>
      </c>
      <c r="B39" s="157">
        <f>IF(VLOOKUP(2,'7. Паспорт отчет о закупке'!$A$27:$CD$86,52,0)="ИП",VLOOKUP(2,'7. Паспорт отчет о закупке'!$A$27:$CD$86,51,0)/1000,"нд")</f>
        <v>60.312057599999996</v>
      </c>
    </row>
    <row r="40" spans="1:2" x14ac:dyDescent="0.25">
      <c r="A40" s="164" t="s">
        <v>436</v>
      </c>
      <c r="B40" s="157">
        <f>IF(VLOOKUP(2,'7. Паспорт отчет о закупке'!$A$27:$CD$86,52,0)="ИП",VLOOKUP(2,'7. Паспорт отчет о закупке'!$A$27:$CD$86,50,0)/1000,"нд")</f>
        <v>2.9480218400000004</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f>IF(VLOOKUP(4,'7. Паспорт отчет о закупке'!$A$27:$CD$86,52,0)="ИП",VLOOKUP(4,'7. Паспорт отчет о закупке'!$A$27:$CD$86,30,0)/1000,"нд")</f>
        <v>2.0169021599999999</v>
      </c>
    </row>
    <row r="46" spans="1:2" x14ac:dyDescent="0.25">
      <c r="A46" s="164" t="s">
        <v>314</v>
      </c>
      <c r="B46" s="157">
        <f>IF(B45="нд","нд",$B45/$B$27*100)</f>
        <v>0.36792415838911741</v>
      </c>
    </row>
    <row r="47" spans="1:2" x14ac:dyDescent="0.25">
      <c r="A47" s="164" t="s">
        <v>315</v>
      </c>
      <c r="B47" s="157">
        <f>IF(VLOOKUP(4,'7. Паспорт отчет о закупке'!$A$27:$CD$86,52,0)="ИП",VLOOKUP(4,'7. Паспорт отчет о закупке'!$A$27:$CD$86,51,0)/1000,"нд")</f>
        <v>2.0169021499999999</v>
      </c>
    </row>
    <row r="48" spans="1:2" x14ac:dyDescent="0.25">
      <c r="A48" s="164" t="s">
        <v>436</v>
      </c>
      <c r="B48" s="157">
        <f>IF(VLOOKUP(4,'7. Паспорт отчет о закупке'!$A$27:$CD$86,52,0)="ИП",VLOOKUP(4,'7. Паспорт отчет о закупке'!$A$27:$CD$86,50,0)/1000,"нд")</f>
        <v>1.6807517999999999</v>
      </c>
    </row>
    <row r="49" spans="1:2" ht="30" x14ac:dyDescent="0.25">
      <c r="A49" s="164" t="s">
        <v>432</v>
      </c>
      <c r="B49" s="157">
        <f>IF(VLOOKUP(5,'7. Паспорт отчет о закупке'!$A$27:$CD$86,52,0)="ИП",VLOOKUP(5,'7. Паспорт отчет о закупке'!$A$27:$CD$86,30,0)/1000,"нд")</f>
        <v>47.745239999999995</v>
      </c>
    </row>
    <row r="50" spans="1:2" x14ac:dyDescent="0.25">
      <c r="A50" s="164" t="s">
        <v>314</v>
      </c>
      <c r="B50" s="157">
        <f>IF(B49="нд","нд",$B49/$B$27*100)</f>
        <v>8.7097071898055898</v>
      </c>
    </row>
    <row r="51" spans="1:2" x14ac:dyDescent="0.25">
      <c r="A51" s="164" t="s">
        <v>315</v>
      </c>
      <c r="B51" s="157">
        <f>IF(VLOOKUP(5,'7. Паспорт отчет о закупке'!$A$27:$CD$86,52,0)="ИП",VLOOKUP(5,'7. Паспорт отчет о закупке'!$A$27:$CD$86,51,0)/1000,"нд")</f>
        <v>46.926566610000002</v>
      </c>
    </row>
    <row r="52" spans="1:2" x14ac:dyDescent="0.25">
      <c r="A52" s="164" t="s">
        <v>436</v>
      </c>
      <c r="B52" s="157">
        <f>IF(VLOOKUP(5,'7. Паспорт отчет о закупке'!$A$27:$CD$86,52,0)="ИП",VLOOKUP(5,'7. Паспорт отчет о закупке'!$A$27:$CD$86,50,0)/1000,"нд")</f>
        <v>47.430555119999987</v>
      </c>
    </row>
    <row r="53" spans="1:2" ht="30" x14ac:dyDescent="0.25">
      <c r="A53" s="164" t="s">
        <v>432</v>
      </c>
      <c r="B53" s="157">
        <f>IF(VLOOKUP(6,'7. Паспорт отчет о закупке'!$A$27:$CD$86,52,0)="ИП",VLOOKUP(6,'7. Паспорт отчет о закупке'!$A$27:$CD$86,30,0)/1000,"нд")</f>
        <v>51.492207299999997</v>
      </c>
    </row>
    <row r="54" spans="1:2" x14ac:dyDescent="0.25">
      <c r="A54" s="164" t="s">
        <v>314</v>
      </c>
      <c r="B54" s="157">
        <f>IF(B53="нд","нд",$B53/$B$27*100)</f>
        <v>9.393230574184356</v>
      </c>
    </row>
    <row r="55" spans="1:2" x14ac:dyDescent="0.25">
      <c r="A55" s="164" t="s">
        <v>315</v>
      </c>
      <c r="B55" s="157">
        <f>IF(VLOOKUP(6,'7. Паспорт отчет о закупке'!$A$27:$CD$86,52,0)="ИП",VLOOKUP(6,'7. Паспорт отчет о закупке'!$A$27:$CD$86,51,0)/1000,"нд")</f>
        <v>55.201651480000002</v>
      </c>
    </row>
    <row r="56" spans="1:2" x14ac:dyDescent="0.25">
      <c r="A56" s="164" t="s">
        <v>436</v>
      </c>
      <c r="B56" s="157">
        <f>IF(VLOOKUP(6,'7. Паспорт отчет о закупке'!$A$27:$CD$86,52,0)="ИП",VLOOKUP(6,'7. Паспорт отчет о закупке'!$A$27:$CD$86,50,0)/1000,"нд")</f>
        <v>46.001376229999998</v>
      </c>
    </row>
    <row r="57" spans="1:2" ht="28.5" x14ac:dyDescent="0.25">
      <c r="A57" s="165" t="s">
        <v>316</v>
      </c>
      <c r="B57" s="167">
        <f>SUM(SUMIF(B58,"&gt;0",B58),SUMIF(B62,"&gt;0",B62),SUMIF(B66,"&gt;0",B66),SUMIF(B70,"&gt;0",B70),SUMIF(B74,"&gt;0",B74))</f>
        <v>23.546770548350331</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f>IF(VLOOKUP(3,'7. Паспорт отчет о закупке'!$A$27:$CD$86,52,0)="ПД",VLOOKUP(3,'7. Паспорт отчет о закупке'!$A$27:$CD$86,30,0)/1000,"нд")</f>
        <v>23.546770548350331</v>
      </c>
    </row>
    <row r="67" spans="1:2" x14ac:dyDescent="0.25">
      <c r="A67" s="164" t="s">
        <v>314</v>
      </c>
      <c r="B67" s="157">
        <f>IF(B66="нд","нд",$B66/$B$27*100)</f>
        <v>4.2954119979639733</v>
      </c>
    </row>
    <row r="68" spans="1:2" x14ac:dyDescent="0.25">
      <c r="A68" s="164" t="s">
        <v>315</v>
      </c>
      <c r="B68" s="157">
        <f>IF(VLOOKUP(3,'7. Паспорт отчет о закупке'!$A$27:$CD$86,52,0)="ПД",VLOOKUP(3,'7. Паспорт отчет о закупке'!$A$27:$CD$86,51,0)/1000,"нд")</f>
        <v>7.2240000000000002</v>
      </c>
    </row>
    <row r="69" spans="1:2" x14ac:dyDescent="0.25">
      <c r="A69" s="164" t="s">
        <v>436</v>
      </c>
      <c r="B69" s="157">
        <f>IF(VLOOKUP(3,'7. Паспорт отчет о закупке'!$A$27:$CD$86,52,0)="ПД",VLOOKUP(3,'7. Паспорт отчет о закупке'!$A$27:$CD$86,50,0)/1000,"нд")</f>
        <v>6.02</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41.756572613240628</v>
      </c>
      <c r="C85" s="188"/>
      <c r="D85" s="189"/>
      <c r="E85" s="188"/>
      <c r="F85" s="188"/>
      <c r="G85" s="188"/>
    </row>
    <row r="86" spans="1:7" x14ac:dyDescent="0.25">
      <c r="A86" s="159" t="s">
        <v>320</v>
      </c>
      <c r="B86" s="162">
        <f>SUMIF('7. Паспорт отчет о закупке'!$BA$27:$BA$86,"ТМЦ",'7. Паспорт отчет о закупке'!$AD$27:$AD$86)/1000/$B$27*100</f>
        <v>30.476356584561938</v>
      </c>
      <c r="C86" s="188"/>
      <c r="D86" s="189"/>
      <c r="E86" s="188"/>
      <c r="F86" s="188"/>
      <c r="G86" s="188"/>
    </row>
    <row r="87" spans="1:7" x14ac:dyDescent="0.25">
      <c r="A87" s="159" t="s">
        <v>321</v>
      </c>
      <c r="B87" s="162">
        <f>SUMIF('7. Паспорт отчет о закупке'!$BA$27:$BA$86,"ПИР",'7. Паспорт отчет о закупке'!$AD$27:$AD$86)/1000/$B$27*100</f>
        <v>2.3716886624551665</v>
      </c>
      <c r="C87" s="188"/>
      <c r="D87" s="189"/>
      <c r="E87" s="188"/>
      <c r="F87" s="188"/>
      <c r="G87" s="188"/>
    </row>
    <row r="88" spans="1:7" ht="30" x14ac:dyDescent="0.25">
      <c r="A88" s="154" t="s">
        <v>438</v>
      </c>
      <c r="B88" s="167">
        <v>6.168315465077594</v>
      </c>
      <c r="C88" s="188"/>
      <c r="D88" s="188"/>
      <c r="E88" s="188"/>
      <c r="F88" s="188"/>
      <c r="G88" s="188"/>
    </row>
    <row r="89" spans="1:7" x14ac:dyDescent="0.25">
      <c r="A89" s="154" t="s">
        <v>322</v>
      </c>
      <c r="B89" s="167">
        <f>'6.2. Паспорт фин осв ввод'!D24-'6.2. Паспорт фин осв ввод'!E24</f>
        <v>342.86175412919511</v>
      </c>
    </row>
    <row r="90" spans="1:7" x14ac:dyDescent="0.25">
      <c r="A90" s="154" t="s">
        <v>435</v>
      </c>
      <c r="B90" s="167">
        <f>IFERROR(SUM(B91*1.2/$B$27*100),0)</f>
        <v>63.777179833338096</v>
      </c>
    </row>
    <row r="91" spans="1:7" x14ac:dyDescent="0.25">
      <c r="A91" s="154" t="s">
        <v>440</v>
      </c>
      <c r="B91" s="167">
        <f>'6.2. Паспорт фин осв ввод'!D34-'6.2. Паспорт фин осв ввод'!E34</f>
        <v>291.34702725999989</v>
      </c>
    </row>
    <row r="92" spans="1:7" s="170" customFormat="1" ht="168" customHeight="1" x14ac:dyDescent="0.25">
      <c r="A92" s="168"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АКЦИОНЕРНОЕ ОБЩЕСТВО "РЕМОНТЭНЕРГОМОНТАЖ И СЕРВИС", СМР, Выполнение   строительно-монтажных и пусконаладочных работ по проекту "Реконструкция ПС 220 кВ Урожай в части замены ячеек выключателей 220 кВ (8 шт.) с выполнением сопутствующего объема работ, договор № ИП-23-00050 от 10.03.2023
АО "РЭМиС", СМР, Проектно-изыскательские, строительно-монтажные и пусконаладочные работы по реконструкции ПС 220 кВ Урожай в части замены ячеек выключателей 220 кВ (8 шт.) и выполнением сопутствующего объема работ, договор № ИП-19-00101 от 17.06.2019
Общество с ограниченной ответственностью "Инженерный центр Сибири", ТМЦ, Поставка разъединителей 110-220 кВ, договор № ПД-23-00052 от 14.03.2023
АО "РЭМиС", СМР, Выполнение проектно-изыскательских, строительно-монтажных и пуско-наладочных работ по проекту "Реконструкция ПС 220 кВ Урожай в части замены ячеек выключателей 220 кВ (8 шт.) с выполнением сопутствующего объема работ, договор № ИП-22-00419 от 27.12.2022
АО "РЭМиС", СМР, Реконструкция ПС 220 кВ Урожай в части замены ячеек выключателей 220 кВ (8 шт.) с выполнением сопутствующего объема работ» (в части замены ячеек выключателей В-219, В-220), по Объекту «ПС 220 кВ Урожай», договор № ИП-20-00336 от 25.12.2020
АО "РЭМиС", СМР, Проектно-изыскательские, строительно-монтажные и пусконаладочные работы, договор № ИП-22-00024 от 16.02.2022
АО "РЭМиС", СМР, Выполнение комплекса работ (Проектно-изыскательские, строительно-монтажные, пусконаладочные работы) по реконструкции ПС 220 кВ Урожай в части замены ячеек выключателей 220 кВ (8 шт.) с выполнением сопутствующего объема работ, договор № ИП-20-00079 от 26.03.2020
ОБЩЕСТВО С ОГРАНИЧЕННОЙ ОТВЕТСТВЕННОСТЬЮ "ПРОЕКТНЫЙ ЦЕНТР СИБИРИ", ПИР, Выполнение проектно-изыскательских работ по проекту "Реконструкция ПС 220 кВ Урожай в части замены ячеек выключателей 220 кВ (8 шт.) с выполнением сопутствующего объема работ (в части 2ПК В-220 1АТ и 2ПК В-220 2АТ)", договор № ИП-24-00062 от 11.04.2024
-, СМР, Выполнение строительно-монтажных работ по проекту "Реконструкция ПС 220 кВ Урожай в части замены ячеек выключателей 220 кВ (8 шт.) с выполнением сопутствующего объема работ (в части 2ПК ШСВ-220  и замены ОР-В-291)", договор № Закупочная процедура признана несостоявшейся
нд, ПИР, Выполнение проектно-изыскательских работ по проекту "Реконструкция ПС 220 кВ Урожай в части замены ячеек выключателей 220 кВ (8 шт.) с выполнением сопутствующего объема работ (в части 2ПК В-219, 2ПК В-220, 2ПК В-221, 2ПК В-222)", договор № ИП-24-00134 от 20.06.2024
ОБЩЕСТВО С ОГРАНИЧЕННОЙ ОТВЕТСТВЕННОСТЬЮ "ЭКРА-СИБИРЬ", СМР, Выполнение строительно-монтажных работ по проекту "Реконструкция ПС 220 кВ Урожай в части замены ячеек выключателей 220 кВ (8 шт.) с выполнением сопутствующего объема работ (в части 2ПК ШСВ-220  и замены ОР-В-291)", договор № ИП-24-00238 от 15.10.2024
-, СМР, Выполнение строительно-монтажных и пуско-наладочных работ по проектам: "Реконструкция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 (2ПК В-220 1АТ и 2ПК В-220-2АТ), договор № Закупочная процедура признана несостоявшейся
Общество с ограниченной ответственностью "ИНЖЕНЕРНЫЙ ЦЕНТР СИБИРИ", ТМЦ, Поставка разъединителей на ПС 220 кВ Урожай, договор № ПД-23-00291 от 26.09.2023
ОБЩЕСТВО С ОГРАНИЧЕННОЙ ОТВЕТСТВЕННОСТЬЮ "ЭКРА-СИБИРЬ", ТМЦ, Поставка шкафов РЗА для ПС Урожай																								, договор № ПД-25-00287 от 01.09.2025
</v>
      </c>
    </row>
    <row r="93" spans="1:7" s="170" customFormat="1" ht="168" customHeight="1" x14ac:dyDescent="0.25">
      <c r="A93" s="169" t="s">
        <v>324</v>
      </c>
      <c r="B93" s="488"/>
    </row>
    <row r="94" spans="1:7" s="170" customFormat="1" ht="168" customHeight="1" x14ac:dyDescent="0.25">
      <c r="A94" s="169" t="s">
        <v>325</v>
      </c>
      <c r="B94" s="488"/>
    </row>
    <row r="95" spans="1:7" s="170" customFormat="1" ht="168" customHeight="1" x14ac:dyDescent="0.25">
      <c r="A95" s="169" t="s">
        <v>326</v>
      </c>
      <c r="B95" s="488"/>
    </row>
    <row r="96" spans="1:7" s="170" customFormat="1" ht="168" customHeight="1" x14ac:dyDescent="0.25">
      <c r="A96" s="169" t="s">
        <v>327</v>
      </c>
      <c r="B96" s="488"/>
    </row>
    <row r="97" spans="1:3" s="170" customFormat="1" ht="168" customHeight="1" x14ac:dyDescent="0.25">
      <c r="A97" s="169" t="s">
        <v>328</v>
      </c>
      <c r="B97" s="488"/>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Оборудование приобретено в составе договоров/а на комплекс работ (ПИР, СМР, ПНР)</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в период исполнения договоров/а на комплекс работ (ПИР, СМР, ПНР)</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5" t="s">
        <v>510</v>
      </c>
    </row>
    <row r="110" spans="1:3" x14ac:dyDescent="0.25">
      <c r="A110" s="159" t="s">
        <v>340</v>
      </c>
      <c r="B110" s="485"/>
    </row>
    <row r="111" spans="1:3" x14ac:dyDescent="0.25">
      <c r="A111" s="159" t="s">
        <v>341</v>
      </c>
      <c r="B111" s="485"/>
    </row>
    <row r="112" spans="1:3" x14ac:dyDescent="0.25">
      <c r="A112" s="159" t="s">
        <v>342</v>
      </c>
      <c r="B112" s="485"/>
    </row>
    <row r="113" spans="1:2" x14ac:dyDescent="0.25">
      <c r="A113" s="159" t="s">
        <v>343</v>
      </c>
      <c r="B113" s="485"/>
    </row>
    <row r="114" spans="1:2" x14ac:dyDescent="0.25">
      <c r="A114" s="161" t="s">
        <v>344</v>
      </c>
      <c r="B114" s="485"/>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M_00.0002.000002</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6" t="s">
        <v>63</v>
      </c>
      <c r="B22" s="317" t="s">
        <v>424</v>
      </c>
      <c r="C22" s="315" t="s">
        <v>424</v>
      </c>
      <c r="D22" s="315" t="s">
        <v>424</v>
      </c>
      <c r="E22" s="315" t="s">
        <v>424</v>
      </c>
      <c r="F22" s="315"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6"/>
      <c r="B23" s="318"/>
      <c r="C23" s="315"/>
      <c r="D23" s="315"/>
      <c r="E23" s="315"/>
      <c r="F23" s="315"/>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6"/>
      <c r="B24" s="319"/>
      <c r="C24" s="315"/>
      <c r="D24" s="315"/>
      <c r="E24" s="315"/>
      <c r="F24" s="315"/>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6"/>
      <c r="B26" s="318"/>
      <c r="C26" s="315"/>
      <c r="D26" s="315"/>
      <c r="E26" s="315"/>
      <c r="F26" s="315"/>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6"/>
      <c r="B27" s="319"/>
      <c r="C27" s="315"/>
      <c r="D27" s="315"/>
      <c r="E27" s="315"/>
      <c r="F27" s="315"/>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6"/>
      <c r="B29" s="318"/>
      <c r="C29" s="315"/>
      <c r="D29" s="315"/>
      <c r="E29" s="315"/>
      <c r="F29" s="315"/>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6"/>
      <c r="B30" s="319"/>
      <c r="C30" s="315"/>
      <c r="D30" s="315"/>
      <c r="E30" s="315"/>
      <c r="F30" s="315"/>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6"/>
      <c r="B32" s="318"/>
      <c r="C32" s="315"/>
      <c r="D32" s="315"/>
      <c r="E32" s="315"/>
      <c r="F32" s="315"/>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6"/>
      <c r="B33" s="319"/>
      <c r="C33" s="315"/>
      <c r="D33" s="315"/>
      <c r="E33" s="315"/>
      <c r="F33" s="315"/>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6"/>
      <c r="B35" s="318"/>
      <c r="C35" s="315"/>
      <c r="D35" s="315"/>
      <c r="E35" s="315"/>
      <c r="F35" s="315"/>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6"/>
      <c r="B36" s="319"/>
      <c r="C36" s="315"/>
      <c r="D36" s="315"/>
      <c r="E36" s="315"/>
      <c r="F36" s="315"/>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M_00.0002.000002</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382</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595</v>
      </c>
      <c r="C25" s="150" t="s">
        <v>595</v>
      </c>
      <c r="D25" s="150" t="s">
        <v>381</v>
      </c>
      <c r="E25" s="150" t="s">
        <v>601</v>
      </c>
      <c r="F25" s="150" t="s">
        <v>602</v>
      </c>
      <c r="G25" s="150" t="s">
        <v>603</v>
      </c>
      <c r="H25" s="150" t="s">
        <v>603</v>
      </c>
      <c r="I25" s="150">
        <v>1983</v>
      </c>
      <c r="J25" s="150">
        <v>2020</v>
      </c>
      <c r="K25" s="150">
        <v>1984</v>
      </c>
      <c r="L25" s="150">
        <v>220</v>
      </c>
      <c r="M25" s="150">
        <v>220</v>
      </c>
      <c r="N25" s="150" t="s">
        <v>424</v>
      </c>
      <c r="O25" s="150" t="s">
        <v>424</v>
      </c>
      <c r="P25" s="235">
        <v>2005</v>
      </c>
      <c r="Q25" s="150" t="s">
        <v>604</v>
      </c>
      <c r="R25" s="150" t="s">
        <v>605</v>
      </c>
      <c r="S25" s="150" t="s">
        <v>424</v>
      </c>
      <c r="T25" s="150" t="s">
        <v>424</v>
      </c>
    </row>
    <row r="26" spans="1:20" s="151" customFormat="1" ht="112.5" customHeight="1" x14ac:dyDescent="0.25">
      <c r="A26" s="150">
        <v>2</v>
      </c>
      <c r="B26" s="150" t="s">
        <v>595</v>
      </c>
      <c r="C26" s="150" t="s">
        <v>595</v>
      </c>
      <c r="D26" s="150" t="s">
        <v>381</v>
      </c>
      <c r="E26" s="150" t="s">
        <v>601</v>
      </c>
      <c r="F26" s="150" t="s">
        <v>602</v>
      </c>
      <c r="G26" s="150" t="s">
        <v>606</v>
      </c>
      <c r="H26" s="150" t="s">
        <v>606</v>
      </c>
      <c r="I26" s="150">
        <v>1984</v>
      </c>
      <c r="J26" s="150">
        <v>2020</v>
      </c>
      <c r="K26" s="150">
        <v>1984</v>
      </c>
      <c r="L26" s="150">
        <v>220</v>
      </c>
      <c r="M26" s="150">
        <v>220</v>
      </c>
      <c r="N26" s="150" t="s">
        <v>424</v>
      </c>
      <c r="O26" s="150" t="s">
        <v>424</v>
      </c>
      <c r="P26" s="150">
        <v>2004</v>
      </c>
      <c r="Q26" s="150" t="s">
        <v>604</v>
      </c>
      <c r="R26" s="150" t="s">
        <v>605</v>
      </c>
      <c r="S26" s="150" t="s">
        <v>424</v>
      </c>
      <c r="T26" s="150" t="s">
        <v>424</v>
      </c>
    </row>
    <row r="27" spans="1:20" s="151" customFormat="1" ht="112.5" customHeight="1" x14ac:dyDescent="0.25">
      <c r="A27" s="150">
        <v>3</v>
      </c>
      <c r="B27" s="150" t="s">
        <v>595</v>
      </c>
      <c r="C27" s="150" t="s">
        <v>595</v>
      </c>
      <c r="D27" s="150" t="s">
        <v>381</v>
      </c>
      <c r="E27" s="150" t="s">
        <v>601</v>
      </c>
      <c r="F27" s="150" t="s">
        <v>602</v>
      </c>
      <c r="G27" s="150" t="s">
        <v>607</v>
      </c>
      <c r="H27" s="150" t="s">
        <v>607</v>
      </c>
      <c r="I27" s="150">
        <v>1983</v>
      </c>
      <c r="J27" s="150" t="s">
        <v>608</v>
      </c>
      <c r="K27" s="150">
        <v>1984</v>
      </c>
      <c r="L27" s="150">
        <v>220</v>
      </c>
      <c r="M27" s="150">
        <v>220</v>
      </c>
      <c r="N27" s="150" t="s">
        <v>424</v>
      </c>
      <c r="O27" s="150" t="s">
        <v>424</v>
      </c>
      <c r="P27" s="150">
        <v>2000</v>
      </c>
      <c r="Q27" s="150" t="s">
        <v>604</v>
      </c>
      <c r="R27" s="150" t="s">
        <v>605</v>
      </c>
      <c r="S27" s="150" t="s">
        <v>424</v>
      </c>
      <c r="T27" s="150" t="s">
        <v>424</v>
      </c>
    </row>
    <row r="28" spans="1:20" s="151" customFormat="1" ht="112.5" customHeight="1" x14ac:dyDescent="0.25">
      <c r="A28" s="150">
        <v>4</v>
      </c>
      <c r="B28" s="150" t="s">
        <v>595</v>
      </c>
      <c r="C28" s="150" t="s">
        <v>595</v>
      </c>
      <c r="D28" s="150" t="s">
        <v>381</v>
      </c>
      <c r="E28" s="150" t="s">
        <v>601</v>
      </c>
      <c r="F28" s="150" t="s">
        <v>602</v>
      </c>
      <c r="G28" s="150" t="s">
        <v>609</v>
      </c>
      <c r="H28" s="150" t="s">
        <v>609</v>
      </c>
      <c r="I28" s="150">
        <v>1983</v>
      </c>
      <c r="J28" s="150" t="s">
        <v>610</v>
      </c>
      <c r="K28" s="150">
        <v>1983</v>
      </c>
      <c r="L28" s="150">
        <v>220</v>
      </c>
      <c r="M28" s="150">
        <v>220</v>
      </c>
      <c r="N28" s="150" t="s">
        <v>424</v>
      </c>
      <c r="O28" s="150" t="s">
        <v>424</v>
      </c>
      <c r="P28" s="150">
        <v>2009</v>
      </c>
      <c r="Q28" s="150" t="s">
        <v>604</v>
      </c>
      <c r="R28" s="150" t="s">
        <v>605</v>
      </c>
      <c r="S28" s="150" t="s">
        <v>424</v>
      </c>
      <c r="T28" s="150" t="s">
        <v>424</v>
      </c>
    </row>
    <row r="29" spans="1:20" s="151" customFormat="1" ht="112.5" customHeight="1" x14ac:dyDescent="0.25">
      <c r="A29" s="150">
        <v>5</v>
      </c>
      <c r="B29" s="150" t="s">
        <v>595</v>
      </c>
      <c r="C29" s="150" t="s">
        <v>595</v>
      </c>
      <c r="D29" s="150" t="s">
        <v>381</v>
      </c>
      <c r="E29" s="150" t="s">
        <v>601</v>
      </c>
      <c r="F29" s="150" t="s">
        <v>602</v>
      </c>
      <c r="G29" s="150" t="s">
        <v>611</v>
      </c>
      <c r="H29" s="150" t="s">
        <v>611</v>
      </c>
      <c r="I29" s="150">
        <v>1982</v>
      </c>
      <c r="J29" s="150" t="s">
        <v>610</v>
      </c>
      <c r="K29" s="150">
        <v>1983</v>
      </c>
      <c r="L29" s="150">
        <v>220</v>
      </c>
      <c r="M29" s="150">
        <v>220</v>
      </c>
      <c r="N29" s="150" t="s">
        <v>424</v>
      </c>
      <c r="O29" s="150" t="s">
        <v>424</v>
      </c>
      <c r="P29" s="150">
        <v>2006</v>
      </c>
      <c r="Q29" s="150" t="s">
        <v>604</v>
      </c>
      <c r="R29" s="150" t="s">
        <v>605</v>
      </c>
      <c r="S29" s="150" t="s">
        <v>424</v>
      </c>
      <c r="T29" s="150" t="s">
        <v>424</v>
      </c>
    </row>
    <row r="30" spans="1:20" s="151" customFormat="1" ht="112.5" customHeight="1" x14ac:dyDescent="0.25">
      <c r="A30" s="150">
        <v>6</v>
      </c>
      <c r="B30" s="150" t="s">
        <v>595</v>
      </c>
      <c r="C30" s="150" t="s">
        <v>595</v>
      </c>
      <c r="D30" s="150" t="s">
        <v>381</v>
      </c>
      <c r="E30" s="150" t="s">
        <v>601</v>
      </c>
      <c r="F30" s="150" t="s">
        <v>602</v>
      </c>
      <c r="G30" s="150" t="s">
        <v>612</v>
      </c>
      <c r="H30" s="150" t="s">
        <v>612</v>
      </c>
      <c r="I30" s="150">
        <v>1982</v>
      </c>
      <c r="J30" s="150" t="s">
        <v>613</v>
      </c>
      <c r="K30" s="150">
        <v>1983</v>
      </c>
      <c r="L30" s="150">
        <v>220</v>
      </c>
      <c r="M30" s="150">
        <v>220</v>
      </c>
      <c r="N30" s="150" t="s">
        <v>424</v>
      </c>
      <c r="O30" s="150" t="s">
        <v>424</v>
      </c>
      <c r="P30" s="150">
        <v>2001</v>
      </c>
      <c r="Q30" s="150" t="s">
        <v>604</v>
      </c>
      <c r="R30" s="150" t="s">
        <v>605</v>
      </c>
      <c r="S30" s="150" t="s">
        <v>424</v>
      </c>
      <c r="T30" s="150" t="s">
        <v>424</v>
      </c>
    </row>
    <row r="31" spans="1:20" s="151" customFormat="1" ht="112.5" customHeight="1" x14ac:dyDescent="0.25">
      <c r="A31" s="150">
        <v>7</v>
      </c>
      <c r="B31" s="150" t="s">
        <v>595</v>
      </c>
      <c r="C31" s="150" t="s">
        <v>595</v>
      </c>
      <c r="D31" s="150" t="s">
        <v>381</v>
      </c>
      <c r="E31" s="150" t="s">
        <v>601</v>
      </c>
      <c r="F31" s="150" t="s">
        <v>602</v>
      </c>
      <c r="G31" s="150" t="s">
        <v>614</v>
      </c>
      <c r="H31" s="150" t="s">
        <v>614</v>
      </c>
      <c r="I31" s="150">
        <v>1982</v>
      </c>
      <c r="J31" s="150" t="s">
        <v>613</v>
      </c>
      <c r="K31" s="150">
        <v>1983</v>
      </c>
      <c r="L31" s="150">
        <v>220</v>
      </c>
      <c r="M31" s="150">
        <v>220</v>
      </c>
      <c r="N31" s="150" t="s">
        <v>424</v>
      </c>
      <c r="O31" s="150" t="s">
        <v>424</v>
      </c>
      <c r="P31" s="150">
        <v>2002</v>
      </c>
      <c r="Q31" s="150" t="s">
        <v>604</v>
      </c>
      <c r="R31" s="150" t="s">
        <v>605</v>
      </c>
      <c r="S31" s="150" t="s">
        <v>424</v>
      </c>
      <c r="T31" s="150" t="s">
        <v>424</v>
      </c>
    </row>
    <row r="32" spans="1:20" s="151" customFormat="1" ht="110.25" x14ac:dyDescent="0.25">
      <c r="A32" s="150">
        <v>8</v>
      </c>
      <c r="B32" s="150" t="s">
        <v>595</v>
      </c>
      <c r="C32" s="150" t="s">
        <v>595</v>
      </c>
      <c r="D32" s="150" t="s">
        <v>381</v>
      </c>
      <c r="E32" s="150" t="s">
        <v>601</v>
      </c>
      <c r="F32" s="150" t="s">
        <v>602</v>
      </c>
      <c r="G32" s="150" t="s">
        <v>615</v>
      </c>
      <c r="H32" s="150" t="s">
        <v>615</v>
      </c>
      <c r="I32" s="150" t="s">
        <v>616</v>
      </c>
      <c r="J32" s="150" t="s">
        <v>608</v>
      </c>
      <c r="K32" s="150">
        <v>1983</v>
      </c>
      <c r="L32" s="150">
        <v>220</v>
      </c>
      <c r="M32" s="150">
        <v>220</v>
      </c>
      <c r="N32" s="150" t="s">
        <v>424</v>
      </c>
      <c r="O32" s="150" t="s">
        <v>424</v>
      </c>
      <c r="P32" s="150">
        <v>2011</v>
      </c>
      <c r="Q32" s="150" t="s">
        <v>604</v>
      </c>
      <c r="R32" s="150" t="s">
        <v>605</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tr">
        <f>'1. паспорт местоположение'!$A$12</f>
        <v>M_00.0002.000002</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M_00.0002.000002</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593</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594</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595</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596</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597</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598</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42538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2029</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599</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M_00.0002.000002</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M_00.0002.000002</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M_00.0002.000002</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8"/>
      <c r="AN25" s="367" t="s">
        <v>283</v>
      </c>
      <c r="AO25" s="367"/>
      <c r="AP25" s="367"/>
      <c r="AQ25" s="362"/>
      <c r="AR25" s="362"/>
      <c r="AS25" s="83"/>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8"/>
      <c r="AN26" s="356" t="s">
        <v>281</v>
      </c>
      <c r="AO26" s="357"/>
      <c r="AP26" s="358"/>
      <c r="AQ26" s="359" t="s">
        <v>424</v>
      </c>
      <c r="AR26" s="360"/>
      <c r="AS26" s="83"/>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8"/>
      <c r="AN27" s="356" t="s">
        <v>279</v>
      </c>
      <c r="AO27" s="357"/>
      <c r="AP27" s="358"/>
      <c r="AQ27" s="359" t="s">
        <v>424</v>
      </c>
      <c r="AR27" s="360"/>
      <c r="AS27" s="83"/>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8"/>
      <c r="AN28" s="383" t="s">
        <v>277</v>
      </c>
      <c r="AO28" s="384"/>
      <c r="AP28" s="385"/>
      <c r="AQ28" s="359" t="s">
        <v>424</v>
      </c>
      <c r="AR28" s="360"/>
      <c r="AS28" s="83"/>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8"/>
      <c r="AN29" s="373"/>
      <c r="AO29" s="374"/>
      <c r="AP29" s="374"/>
      <c r="AQ29" s="359" t="s">
        <v>424</v>
      </c>
      <c r="AR29" s="375"/>
      <c r="AS29" s="83"/>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8"/>
      <c r="AS30" s="83"/>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8"/>
      <c r="AN31" s="78"/>
      <c r="AO31" s="103"/>
      <c r="AP31" s="103"/>
      <c r="AQ31" s="103"/>
      <c r="AR31" s="103"/>
      <c r="AS31" s="83"/>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8"/>
      <c r="AN32" s="78"/>
      <c r="AO32" s="78"/>
      <c r="AP32" s="78"/>
      <c r="AQ32" s="78"/>
      <c r="AR32" s="78"/>
      <c r="AS32" s="83"/>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8"/>
      <c r="AN33" s="78"/>
      <c r="AO33" s="78"/>
      <c r="AP33" s="78"/>
      <c r="AQ33" s="78"/>
      <c r="AR33" s="78"/>
      <c r="AS33" s="83"/>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8"/>
      <c r="AN38" s="78"/>
      <c r="AO38" s="78"/>
      <c r="AP38" s="78"/>
      <c r="AQ38" s="78"/>
      <c r="AR38" s="78"/>
      <c r="AS38" s="83"/>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8"/>
      <c r="AN39" s="78"/>
      <c r="AO39" s="78"/>
      <c r="AP39" s="78"/>
      <c r="AQ39" s="78"/>
      <c r="AR39" s="78"/>
      <c r="AS39" s="83"/>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8"/>
      <c r="AN40" s="78"/>
      <c r="AO40" s="78"/>
      <c r="AP40" s="78"/>
      <c r="AQ40" s="78"/>
      <c r="AR40" s="78"/>
      <c r="AS40" s="83"/>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8"/>
      <c r="AN41" s="78"/>
      <c r="AO41" s="78"/>
      <c r="AP41" s="78"/>
      <c r="AQ41" s="78"/>
      <c r="AR41" s="78"/>
      <c r="AS41" s="83"/>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8"/>
      <c r="AN42" s="78"/>
      <c r="AO42" s="78"/>
      <c r="AP42" s="78"/>
      <c r="AQ42" s="78"/>
      <c r="AR42" s="78"/>
      <c r="AS42" s="83"/>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8"/>
      <c r="AN43" s="78"/>
      <c r="AO43" s="78"/>
      <c r="AP43" s="78"/>
      <c r="AQ43" s="78"/>
      <c r="AR43" s="78"/>
      <c r="AS43" s="83"/>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8"/>
      <c r="AN44" s="78"/>
      <c r="AO44" s="78"/>
      <c r="AP44" s="78"/>
      <c r="AQ44" s="78"/>
      <c r="AR44" s="78"/>
      <c r="AS44" s="83"/>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8"/>
      <c r="AN45" s="78"/>
      <c r="AO45" s="78"/>
      <c r="AP45" s="78"/>
      <c r="AQ45" s="78"/>
      <c r="AR45" s="78"/>
      <c r="AS45" s="83"/>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8"/>
      <c r="AN46" s="78"/>
      <c r="AO46" s="78"/>
      <c r="AP46" s="78"/>
      <c r="AQ46" s="78"/>
      <c r="AR46" s="78"/>
      <c r="AS46" s="83"/>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91" t="s">
        <v>242</v>
      </c>
      <c r="AP47" s="91" t="s">
        <v>241</v>
      </c>
      <c r="AQ47" s="83"/>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5" t="s">
        <v>424</v>
      </c>
      <c r="AP48" s="95" t="s">
        <v>424</v>
      </c>
      <c r="AQ48" s="83"/>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5" t="s">
        <v>424</v>
      </c>
      <c r="AP49" s="95" t="s">
        <v>424</v>
      </c>
      <c r="AQ49" s="83"/>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91" t="s">
        <v>242</v>
      </c>
      <c r="AP52" s="91" t="s">
        <v>241</v>
      </c>
      <c r="AQ52" s="83"/>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41" t="s">
        <v>424</v>
      </c>
      <c r="AP53" s="141" t="s">
        <v>424</v>
      </c>
      <c r="AQ53" s="83"/>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41" t="s">
        <v>424</v>
      </c>
      <c r="AP54" s="141" t="s">
        <v>424</v>
      </c>
      <c r="AQ54" s="83"/>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41" t="s">
        <v>424</v>
      </c>
      <c r="AP55" s="141" t="s">
        <v>424</v>
      </c>
      <c r="AQ55" s="83"/>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91" t="s">
        <v>242</v>
      </c>
      <c r="AP58" s="91" t="s">
        <v>241</v>
      </c>
      <c r="AQ58" s="83"/>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7" t="s">
        <v>424</v>
      </c>
      <c r="AP59" s="97" t="s">
        <v>424</v>
      </c>
      <c r="AQ59" s="89"/>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5" t="s">
        <v>424</v>
      </c>
      <c r="AP60" s="95" t="s">
        <v>424</v>
      </c>
      <c r="AQ60" s="83"/>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5" t="s">
        <v>424</v>
      </c>
      <c r="AP61" s="95" t="s">
        <v>424</v>
      </c>
      <c r="AQ61" s="83"/>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5" t="s">
        <v>424</v>
      </c>
      <c r="AP62" s="95" t="s">
        <v>424</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5" t="s">
        <v>424</v>
      </c>
      <c r="AP65" s="95" t="s">
        <v>424</v>
      </c>
      <c r="AQ65" s="83"/>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6" t="s">
        <v>424</v>
      </c>
      <c r="AP66" s="96" t="s">
        <v>424</v>
      </c>
      <c r="AQ66" s="89"/>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5" t="s">
        <v>424</v>
      </c>
      <c r="AP67" s="95" t="s">
        <v>424</v>
      </c>
      <c r="AQ67" s="83"/>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6" t="s">
        <v>424</v>
      </c>
      <c r="AP68" s="96" t="s">
        <v>424</v>
      </c>
      <c r="AQ68" s="89"/>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5" t="s">
        <v>424</v>
      </c>
      <c r="AP69" s="95" t="s">
        <v>424</v>
      </c>
      <c r="AQ69" s="83"/>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6" t="s">
        <v>424</v>
      </c>
      <c r="AP70" s="96" t="s">
        <v>424</v>
      </c>
      <c r="AQ70" s="89"/>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5" t="s">
        <v>424</v>
      </c>
      <c r="AP71" s="95" t="s">
        <v>424</v>
      </c>
      <c r="AQ71" s="83"/>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91" t="s">
        <v>242</v>
      </c>
      <c r="AP74" s="91" t="s">
        <v>241</v>
      </c>
      <c r="AQ74" s="83"/>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7" t="s">
        <v>424</v>
      </c>
      <c r="AP75" s="87" t="s">
        <v>424</v>
      </c>
      <c r="AQ75" s="89"/>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90" t="s">
        <v>424</v>
      </c>
      <c r="AP76" s="90" t="s">
        <v>424</v>
      </c>
      <c r="AQ76" s="83"/>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90" t="s">
        <v>424</v>
      </c>
      <c r="AP77" s="90" t="s">
        <v>424</v>
      </c>
      <c r="AQ77" s="83"/>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90" t="s">
        <v>424</v>
      </c>
      <c r="AP78" s="90" t="s">
        <v>424</v>
      </c>
      <c r="AQ78" s="83"/>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90" t="s">
        <v>424</v>
      </c>
      <c r="AP79" s="90" t="s">
        <v>424</v>
      </c>
      <c r="AQ79" s="83"/>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90" t="s">
        <v>424</v>
      </c>
      <c r="AP80" s="90" t="s">
        <v>424</v>
      </c>
      <c r="AQ80" s="83"/>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90" t="s">
        <v>424</v>
      </c>
      <c r="AP81" s="90" t="s">
        <v>424</v>
      </c>
      <c r="AQ81" s="83"/>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90" t="s">
        <v>424</v>
      </c>
      <c r="AP82" s="90" t="s">
        <v>424</v>
      </c>
      <c r="AQ82" s="83"/>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7" t="s">
        <v>424</v>
      </c>
      <c r="AP83" s="87" t="s">
        <v>424</v>
      </c>
      <c r="AQ83" s="89"/>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7" t="s">
        <v>424</v>
      </c>
      <c r="AP84" s="87" t="s">
        <v>424</v>
      </c>
      <c r="AQ84" s="89"/>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90" t="s">
        <v>424</v>
      </c>
      <c r="AP85" s="90" t="s">
        <v>424</v>
      </c>
      <c r="AQ85" s="77"/>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7" t="s">
        <v>424</v>
      </c>
      <c r="AP86" s="87" t="s">
        <v>424</v>
      </c>
      <c r="AQ86" s="89"/>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7" t="s">
        <v>424</v>
      </c>
      <c r="AP87" s="87" t="s">
        <v>424</v>
      </c>
      <c r="AQ87" s="89"/>
    </row>
    <row r="88" spans="1:45" ht="14.25" customHeight="1" x14ac:dyDescent="0.25">
      <c r="A88" s="421" t="s">
        <v>227</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424</v>
      </c>
      <c r="AL88" s="425"/>
      <c r="AM88" s="426" t="s">
        <v>424</v>
      </c>
      <c r="AN88" s="427"/>
      <c r="AO88" s="87" t="s">
        <v>424</v>
      </c>
      <c r="AP88" s="87" t="s">
        <v>424</v>
      </c>
      <c r="AQ88" s="89"/>
    </row>
    <row r="89" spans="1:45" x14ac:dyDescent="0.25">
      <c r="A89" s="421" t="s">
        <v>226</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424</v>
      </c>
      <c r="AL89" s="425"/>
      <c r="AM89" s="426" t="s">
        <v>424</v>
      </c>
      <c r="AN89" s="427"/>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424</v>
      </c>
      <c r="AL90" s="418"/>
      <c r="AM90" s="419" t="s">
        <v>424</v>
      </c>
      <c r="AN90" s="420"/>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25" sqref="I25:I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M_00.0002.000002</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8" t="s">
        <v>388</v>
      </c>
      <c r="B19" s="428"/>
      <c r="C19" s="428"/>
      <c r="D19" s="428"/>
      <c r="E19" s="428"/>
      <c r="F19" s="428"/>
      <c r="G19" s="428"/>
      <c r="H19" s="428"/>
      <c r="I19" s="428"/>
      <c r="J19" s="428"/>
    </row>
    <row r="20" spans="1:14" x14ac:dyDescent="0.25">
      <c r="A20" s="241"/>
      <c r="B20" s="241"/>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443</v>
      </c>
      <c r="D22" s="433"/>
      <c r="E22" s="434" t="s">
        <v>11</v>
      </c>
      <c r="F22" s="435"/>
      <c r="G22" s="430"/>
      <c r="H22" s="432"/>
      <c r="I22" s="430"/>
      <c r="J22" s="437"/>
    </row>
    <row r="23" spans="1:14" ht="31.5" x14ac:dyDescent="0.25">
      <c r="A23" s="430"/>
      <c r="B23" s="430"/>
      <c r="C23" s="242" t="s">
        <v>185</v>
      </c>
      <c r="D23" s="242" t="s">
        <v>184</v>
      </c>
      <c r="E23" s="242" t="s">
        <v>185</v>
      </c>
      <c r="F23" s="242" t="s">
        <v>184</v>
      </c>
      <c r="G23" s="430"/>
      <c r="H23" s="433"/>
      <c r="I23" s="430"/>
      <c r="J23" s="437"/>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449</v>
      </c>
      <c r="C25" s="285">
        <v>42538</v>
      </c>
      <c r="D25" s="285">
        <v>45654</v>
      </c>
      <c r="E25" s="285">
        <v>42538</v>
      </c>
      <c r="F25" s="285">
        <v>45654</v>
      </c>
      <c r="G25" s="286">
        <v>1</v>
      </c>
      <c r="H25" s="286">
        <v>0</v>
      </c>
      <c r="I25" s="280" t="s">
        <v>586</v>
      </c>
      <c r="J25" s="280" t="s">
        <v>424</v>
      </c>
      <c r="L25" s="246"/>
      <c r="N25" s="238" t="str">
        <f>CONCATENATE($A$12,A25)</f>
        <v>M_00.0002.0000021</v>
      </c>
    </row>
    <row r="26" spans="1:14" x14ac:dyDescent="0.25">
      <c r="A26" s="281" t="s">
        <v>450</v>
      </c>
      <c r="B26" s="281" t="s">
        <v>451</v>
      </c>
      <c r="C26" s="285" t="s">
        <v>424</v>
      </c>
      <c r="D26" s="285" t="s">
        <v>424</v>
      </c>
      <c r="E26" s="285" t="s">
        <v>424</v>
      </c>
      <c r="F26" s="285" t="s">
        <v>424</v>
      </c>
      <c r="G26" s="286" t="s">
        <v>424</v>
      </c>
      <c r="H26" s="286" t="s">
        <v>424</v>
      </c>
      <c r="I26" s="280" t="s">
        <v>517</v>
      </c>
      <c r="J26" s="281" t="s">
        <v>424</v>
      </c>
      <c r="N26" s="238" t="str">
        <f t="shared" ref="N26:N54" si="0">CONCATENATE($A$12,A26)</f>
        <v>M_00.0002.0000021.1.</v>
      </c>
    </row>
    <row r="27" spans="1:14" x14ac:dyDescent="0.25">
      <c r="A27" s="281" t="s">
        <v>452</v>
      </c>
      <c r="B27" s="281" t="s">
        <v>453</v>
      </c>
      <c r="C27" s="285" t="s">
        <v>424</v>
      </c>
      <c r="D27" s="285" t="s">
        <v>424</v>
      </c>
      <c r="E27" s="285" t="s">
        <v>424</v>
      </c>
      <c r="F27" s="285" t="s">
        <v>424</v>
      </c>
      <c r="G27" s="286" t="s">
        <v>424</v>
      </c>
      <c r="H27" s="286" t="s">
        <v>424</v>
      </c>
      <c r="I27" s="280" t="s">
        <v>517</v>
      </c>
      <c r="J27" s="281" t="s">
        <v>424</v>
      </c>
      <c r="N27" s="238" t="str">
        <f t="shared" si="0"/>
        <v>M_00.0002.0000021.2.</v>
      </c>
    </row>
    <row r="28" spans="1:14" ht="31.5" x14ac:dyDescent="0.25">
      <c r="A28" s="281" t="s">
        <v>454</v>
      </c>
      <c r="B28" s="281" t="s">
        <v>455</v>
      </c>
      <c r="C28" s="285" t="s">
        <v>424</v>
      </c>
      <c r="D28" s="285" t="s">
        <v>424</v>
      </c>
      <c r="E28" s="285" t="s">
        <v>424</v>
      </c>
      <c r="F28" s="285" t="s">
        <v>424</v>
      </c>
      <c r="G28" s="286" t="s">
        <v>424</v>
      </c>
      <c r="H28" s="286" t="s">
        <v>424</v>
      </c>
      <c r="I28" s="280" t="s">
        <v>517</v>
      </c>
      <c r="J28" s="281" t="s">
        <v>424</v>
      </c>
      <c r="N28" s="238" t="str">
        <f t="shared" si="0"/>
        <v>M_00.0002.0000021.2.1.</v>
      </c>
    </row>
    <row r="29" spans="1:14" x14ac:dyDescent="0.25">
      <c r="A29" s="281" t="s">
        <v>456</v>
      </c>
      <c r="B29" s="281" t="s">
        <v>457</v>
      </c>
      <c r="C29" s="285" t="s">
        <v>424</v>
      </c>
      <c r="D29" s="285" t="s">
        <v>424</v>
      </c>
      <c r="E29" s="285" t="s">
        <v>424</v>
      </c>
      <c r="F29" s="285" t="s">
        <v>424</v>
      </c>
      <c r="G29" s="286" t="s">
        <v>424</v>
      </c>
      <c r="H29" s="286" t="s">
        <v>424</v>
      </c>
      <c r="I29" s="280" t="s">
        <v>517</v>
      </c>
      <c r="J29" s="281" t="s">
        <v>424</v>
      </c>
      <c r="N29" s="238" t="str">
        <f t="shared" si="0"/>
        <v>M_00.0002.0000021.3.</v>
      </c>
    </row>
    <row r="30" spans="1:14" x14ac:dyDescent="0.25">
      <c r="A30" s="281" t="s">
        <v>458</v>
      </c>
      <c r="B30" s="281" t="s">
        <v>459</v>
      </c>
      <c r="C30" s="285" t="s">
        <v>424</v>
      </c>
      <c r="D30" s="285" t="s">
        <v>424</v>
      </c>
      <c r="E30" s="285" t="s">
        <v>424</v>
      </c>
      <c r="F30" s="285" t="s">
        <v>424</v>
      </c>
      <c r="G30" s="286" t="s">
        <v>424</v>
      </c>
      <c r="H30" s="286" t="s">
        <v>424</v>
      </c>
      <c r="I30" s="280" t="s">
        <v>517</v>
      </c>
      <c r="J30" s="281" t="s">
        <v>424</v>
      </c>
      <c r="N30" s="238" t="str">
        <f t="shared" si="0"/>
        <v>M_00.0002.0000021.4.</v>
      </c>
    </row>
    <row r="31" spans="1:14" x14ac:dyDescent="0.25">
      <c r="A31" s="281" t="s">
        <v>460</v>
      </c>
      <c r="B31" s="281" t="s">
        <v>461</v>
      </c>
      <c r="C31" s="285">
        <v>42538</v>
      </c>
      <c r="D31" s="285">
        <v>45463</v>
      </c>
      <c r="E31" s="285">
        <v>42538</v>
      </c>
      <c r="F31" s="285">
        <v>45463</v>
      </c>
      <c r="G31" s="286">
        <v>1</v>
      </c>
      <c r="H31" s="286" t="s">
        <v>629</v>
      </c>
      <c r="I31" s="280" t="s">
        <v>517</v>
      </c>
      <c r="J31" s="281" t="s">
        <v>424</v>
      </c>
      <c r="N31" s="238" t="str">
        <f t="shared" si="0"/>
        <v>M_00.0002.0000021.5.</v>
      </c>
    </row>
    <row r="32" spans="1:14" x14ac:dyDescent="0.25">
      <c r="A32" s="281" t="s">
        <v>462</v>
      </c>
      <c r="B32" s="281" t="s">
        <v>463</v>
      </c>
      <c r="C32" s="285">
        <v>43824</v>
      </c>
      <c r="D32" s="285">
        <v>45645</v>
      </c>
      <c r="E32" s="285">
        <v>43824</v>
      </c>
      <c r="F32" s="285">
        <v>45645</v>
      </c>
      <c r="G32" s="286">
        <v>1</v>
      </c>
      <c r="H32" s="286" t="s">
        <v>629</v>
      </c>
      <c r="I32" s="280" t="s">
        <v>517</v>
      </c>
      <c r="J32" s="281" t="s">
        <v>424</v>
      </c>
      <c r="N32" s="238" t="str">
        <f t="shared" si="0"/>
        <v>M_00.0002.0000021.6.</v>
      </c>
    </row>
    <row r="33" spans="1:14" ht="31.5" x14ac:dyDescent="0.25">
      <c r="A33" s="281" t="s">
        <v>464</v>
      </c>
      <c r="B33" s="281" t="s">
        <v>465</v>
      </c>
      <c r="C33" s="285" t="s">
        <v>424</v>
      </c>
      <c r="D33" s="285" t="s">
        <v>424</v>
      </c>
      <c r="E33" s="285" t="s">
        <v>424</v>
      </c>
      <c r="F33" s="285" t="s">
        <v>424</v>
      </c>
      <c r="G33" s="286" t="s">
        <v>424</v>
      </c>
      <c r="H33" s="286" t="s">
        <v>424</v>
      </c>
      <c r="I33" s="280" t="s">
        <v>517</v>
      </c>
      <c r="J33" s="281" t="s">
        <v>424</v>
      </c>
      <c r="N33" s="238" t="str">
        <f t="shared" si="0"/>
        <v>M_00.0002.0000021.7.</v>
      </c>
    </row>
    <row r="34" spans="1:14" ht="31.5" x14ac:dyDescent="0.25">
      <c r="A34" s="281" t="s">
        <v>466</v>
      </c>
      <c r="B34" s="281" t="s">
        <v>467</v>
      </c>
      <c r="C34" s="285" t="s">
        <v>424</v>
      </c>
      <c r="D34" s="285" t="s">
        <v>424</v>
      </c>
      <c r="E34" s="285" t="s">
        <v>424</v>
      </c>
      <c r="F34" s="285" t="s">
        <v>424</v>
      </c>
      <c r="G34" s="286" t="s">
        <v>424</v>
      </c>
      <c r="H34" s="286" t="s">
        <v>424</v>
      </c>
      <c r="I34" s="280" t="s">
        <v>517</v>
      </c>
      <c r="J34" s="281" t="s">
        <v>424</v>
      </c>
      <c r="N34" s="238" t="str">
        <f t="shared" si="0"/>
        <v>M_00.0002.0000021.8.</v>
      </c>
    </row>
    <row r="35" spans="1:14" x14ac:dyDescent="0.25">
      <c r="A35" s="281" t="s">
        <v>468</v>
      </c>
      <c r="B35" s="281" t="s">
        <v>469</v>
      </c>
      <c r="C35" s="285">
        <v>44867</v>
      </c>
      <c r="D35" s="285">
        <v>45654</v>
      </c>
      <c r="E35" s="285">
        <v>44867</v>
      </c>
      <c r="F35" s="285">
        <v>45654</v>
      </c>
      <c r="G35" s="286">
        <v>1</v>
      </c>
      <c r="H35" s="286" t="s">
        <v>629</v>
      </c>
      <c r="I35" s="280" t="s">
        <v>517</v>
      </c>
      <c r="J35" s="281" t="s">
        <v>424</v>
      </c>
      <c r="N35" s="238" t="str">
        <f t="shared" si="0"/>
        <v>M_00.0002.0000021.9.</v>
      </c>
    </row>
    <row r="36" spans="1:14" x14ac:dyDescent="0.25">
      <c r="A36" s="281" t="s">
        <v>470</v>
      </c>
      <c r="B36" s="281" t="s">
        <v>471</v>
      </c>
      <c r="C36" s="285" t="s">
        <v>424</v>
      </c>
      <c r="D36" s="285" t="s">
        <v>424</v>
      </c>
      <c r="E36" s="285" t="s">
        <v>424</v>
      </c>
      <c r="F36" s="285" t="s">
        <v>424</v>
      </c>
      <c r="G36" s="286" t="s">
        <v>424</v>
      </c>
      <c r="H36" s="286" t="s">
        <v>424</v>
      </c>
      <c r="I36" s="280" t="s">
        <v>517</v>
      </c>
      <c r="J36" s="281" t="s">
        <v>424</v>
      </c>
      <c r="N36" s="238" t="str">
        <f t="shared" si="0"/>
        <v>M_00.0002.0000021.10.</v>
      </c>
    </row>
    <row r="37" spans="1:14" x14ac:dyDescent="0.25">
      <c r="A37" s="281" t="s">
        <v>472</v>
      </c>
      <c r="B37" s="281" t="s">
        <v>473</v>
      </c>
      <c r="C37" s="285">
        <v>43824</v>
      </c>
      <c r="D37" s="285">
        <v>45645</v>
      </c>
      <c r="E37" s="285">
        <v>43824</v>
      </c>
      <c r="F37" s="285">
        <v>45645</v>
      </c>
      <c r="G37" s="286">
        <v>1</v>
      </c>
      <c r="H37" s="286" t="s">
        <v>629</v>
      </c>
      <c r="I37" s="280" t="s">
        <v>517</v>
      </c>
      <c r="J37" s="281" t="s">
        <v>424</v>
      </c>
      <c r="N37" s="238" t="str">
        <f t="shared" si="0"/>
        <v>M_00.0002.0000021.11.</v>
      </c>
    </row>
    <row r="38" spans="1:14" x14ac:dyDescent="0.25">
      <c r="A38" s="280">
        <v>2</v>
      </c>
      <c r="B38" s="280" t="s">
        <v>509</v>
      </c>
      <c r="C38" s="285">
        <v>42538</v>
      </c>
      <c r="D38" s="285">
        <v>47361</v>
      </c>
      <c r="E38" s="285">
        <v>42538</v>
      </c>
      <c r="F38" s="285" t="s">
        <v>424</v>
      </c>
      <c r="G38" s="286">
        <v>0.7</v>
      </c>
      <c r="H38" s="286">
        <v>0</v>
      </c>
      <c r="I38" s="280" t="s">
        <v>586</v>
      </c>
      <c r="J38" s="280" t="s">
        <v>424</v>
      </c>
      <c r="N38" s="238" t="str">
        <f t="shared" si="0"/>
        <v>M_00.0002.0000022</v>
      </c>
    </row>
    <row r="39" spans="1:14" ht="173.25" customHeight="1" x14ac:dyDescent="0.25">
      <c r="A39" s="282" t="s">
        <v>474</v>
      </c>
      <c r="B39" s="281" t="s">
        <v>475</v>
      </c>
      <c r="C39" s="285">
        <v>42538</v>
      </c>
      <c r="D39" s="285">
        <v>47179</v>
      </c>
      <c r="E39" s="285">
        <v>42538</v>
      </c>
      <c r="F39" s="285" t="s">
        <v>424</v>
      </c>
      <c r="G39" s="286" t="s">
        <v>626</v>
      </c>
      <c r="H39" s="286" t="s">
        <v>629</v>
      </c>
      <c r="I39" s="280" t="s">
        <v>587</v>
      </c>
      <c r="J39" s="281" t="s">
        <v>424</v>
      </c>
      <c r="N39" s="238" t="str">
        <f t="shared" si="0"/>
        <v>M_00.0002.0000022.1.</v>
      </c>
    </row>
    <row r="40" spans="1:14" x14ac:dyDescent="0.25">
      <c r="A40" s="282" t="s">
        <v>476</v>
      </c>
      <c r="B40" s="281" t="s">
        <v>477</v>
      </c>
      <c r="C40" s="285">
        <v>47299</v>
      </c>
      <c r="D40" s="285">
        <v>47361</v>
      </c>
      <c r="E40" s="285" t="s">
        <v>424</v>
      </c>
      <c r="F40" s="285" t="s">
        <v>424</v>
      </c>
      <c r="G40" s="286" t="s">
        <v>627</v>
      </c>
      <c r="H40" s="286" t="s">
        <v>629</v>
      </c>
      <c r="I40" s="280" t="s">
        <v>517</v>
      </c>
      <c r="J40" s="281" t="s">
        <v>424</v>
      </c>
      <c r="N40" s="238" t="str">
        <f t="shared" si="0"/>
        <v>M_00.0002.0000022.2.</v>
      </c>
    </row>
    <row r="41" spans="1:14" x14ac:dyDescent="0.25">
      <c r="A41" s="280">
        <v>3</v>
      </c>
      <c r="B41" s="280" t="s">
        <v>478</v>
      </c>
      <c r="C41" s="285">
        <v>42538</v>
      </c>
      <c r="D41" s="285">
        <v>47449</v>
      </c>
      <c r="E41" s="285">
        <v>42538</v>
      </c>
      <c r="F41" s="285" t="s">
        <v>424</v>
      </c>
      <c r="G41" s="286">
        <v>0.67499999999999993</v>
      </c>
      <c r="H41" s="286">
        <v>0</v>
      </c>
      <c r="I41" s="280" t="s">
        <v>586</v>
      </c>
      <c r="J41" s="280" t="s">
        <v>424</v>
      </c>
      <c r="N41" s="238" t="str">
        <f t="shared" si="0"/>
        <v>M_00.0002.0000023</v>
      </c>
    </row>
    <row r="42" spans="1:14" ht="157.5" x14ac:dyDescent="0.25">
      <c r="A42" s="281" t="s">
        <v>479</v>
      </c>
      <c r="B42" s="281" t="s">
        <v>480</v>
      </c>
      <c r="C42" s="285">
        <v>42538</v>
      </c>
      <c r="D42" s="285">
        <v>47239</v>
      </c>
      <c r="E42" s="285">
        <v>42538</v>
      </c>
      <c r="F42" s="285" t="s">
        <v>424</v>
      </c>
      <c r="G42" s="286" t="s">
        <v>626</v>
      </c>
      <c r="H42" s="286" t="s">
        <v>629</v>
      </c>
      <c r="I42" s="280" t="s">
        <v>587</v>
      </c>
      <c r="J42" s="281" t="s">
        <v>424</v>
      </c>
      <c r="N42" s="238" t="str">
        <f t="shared" si="0"/>
        <v>M_00.0002.0000023.1.</v>
      </c>
    </row>
    <row r="43" spans="1:14" ht="157.5" x14ac:dyDescent="0.25">
      <c r="A43" s="281" t="s">
        <v>481</v>
      </c>
      <c r="B43" s="281" t="s">
        <v>482</v>
      </c>
      <c r="C43" s="285">
        <v>42538</v>
      </c>
      <c r="D43" s="285">
        <v>47359</v>
      </c>
      <c r="E43" s="285">
        <v>42538</v>
      </c>
      <c r="F43" s="285" t="s">
        <v>424</v>
      </c>
      <c r="G43" s="286" t="s">
        <v>627</v>
      </c>
      <c r="H43" s="286" t="s">
        <v>629</v>
      </c>
      <c r="I43" s="280" t="s">
        <v>587</v>
      </c>
      <c r="J43" s="281" t="s">
        <v>424</v>
      </c>
      <c r="N43" s="238" t="str">
        <f t="shared" si="0"/>
        <v>M_00.0002.0000023.2.</v>
      </c>
    </row>
    <row r="44" spans="1:14" ht="157.5" x14ac:dyDescent="0.25">
      <c r="A44" s="281" t="s">
        <v>483</v>
      </c>
      <c r="B44" s="281" t="s">
        <v>484</v>
      </c>
      <c r="C44" s="285">
        <v>43693</v>
      </c>
      <c r="D44" s="285">
        <v>47419</v>
      </c>
      <c r="E44" s="285">
        <v>43693</v>
      </c>
      <c r="F44" s="285" t="s">
        <v>424</v>
      </c>
      <c r="G44" s="286" t="s">
        <v>628</v>
      </c>
      <c r="H44" s="286" t="s">
        <v>629</v>
      </c>
      <c r="I44" s="280" t="s">
        <v>587</v>
      </c>
      <c r="J44" s="281" t="s">
        <v>424</v>
      </c>
      <c r="N44" s="238" t="str">
        <f t="shared" si="0"/>
        <v>M_00.0002.0000023.3.</v>
      </c>
    </row>
    <row r="45" spans="1:14" ht="31.5" x14ac:dyDescent="0.25">
      <c r="A45" s="281" t="s">
        <v>485</v>
      </c>
      <c r="B45" s="281" t="s">
        <v>486</v>
      </c>
      <c r="C45" s="285" t="s">
        <v>424</v>
      </c>
      <c r="D45" s="285" t="s">
        <v>424</v>
      </c>
      <c r="E45" s="285" t="s">
        <v>424</v>
      </c>
      <c r="F45" s="285" t="s">
        <v>424</v>
      </c>
      <c r="G45" s="286" t="s">
        <v>424</v>
      </c>
      <c r="H45" s="286" t="s">
        <v>424</v>
      </c>
      <c r="I45" s="280" t="s">
        <v>517</v>
      </c>
      <c r="J45" s="281" t="s">
        <v>424</v>
      </c>
      <c r="N45" s="238" t="str">
        <f t="shared" si="0"/>
        <v>M_00.0002.0000023.4.</v>
      </c>
    </row>
    <row r="46" spans="1:14" ht="63" x14ac:dyDescent="0.25">
      <c r="A46" s="281" t="s">
        <v>487</v>
      </c>
      <c r="B46" s="281" t="s">
        <v>488</v>
      </c>
      <c r="C46" s="285" t="s">
        <v>424</v>
      </c>
      <c r="D46" s="285" t="s">
        <v>424</v>
      </c>
      <c r="E46" s="285" t="s">
        <v>424</v>
      </c>
      <c r="F46" s="285" t="s">
        <v>424</v>
      </c>
      <c r="G46" s="286" t="s">
        <v>424</v>
      </c>
      <c r="H46" s="286" t="s">
        <v>424</v>
      </c>
      <c r="I46" s="280" t="s">
        <v>517</v>
      </c>
      <c r="J46" s="281" t="s">
        <v>424</v>
      </c>
      <c r="N46" s="238" t="str">
        <f t="shared" si="0"/>
        <v>M_00.0002.0000023.5.</v>
      </c>
    </row>
    <row r="47" spans="1:14" ht="157.5" x14ac:dyDescent="0.25">
      <c r="A47" s="281" t="s">
        <v>489</v>
      </c>
      <c r="B47" s="281" t="s">
        <v>490</v>
      </c>
      <c r="C47" s="285">
        <v>43753</v>
      </c>
      <c r="D47" s="285">
        <v>47449</v>
      </c>
      <c r="E47" s="285">
        <v>43753</v>
      </c>
      <c r="F47" s="285" t="s">
        <v>424</v>
      </c>
      <c r="G47" s="286" t="s">
        <v>628</v>
      </c>
      <c r="H47" s="286" t="s">
        <v>629</v>
      </c>
      <c r="I47" s="280" t="s">
        <v>587</v>
      </c>
      <c r="J47" s="281" t="s">
        <v>424</v>
      </c>
      <c r="N47" s="238" t="str">
        <f t="shared" si="0"/>
        <v>M_00.0002.0000023.6.</v>
      </c>
    </row>
    <row r="48" spans="1:14" x14ac:dyDescent="0.25">
      <c r="A48" s="280">
        <v>4</v>
      </c>
      <c r="B48" s="280" t="s">
        <v>491</v>
      </c>
      <c r="C48" s="285">
        <v>43753</v>
      </c>
      <c r="D48" s="285">
        <v>47453</v>
      </c>
      <c r="E48" s="285">
        <v>43753</v>
      </c>
      <c r="F48" s="285" t="s">
        <v>424</v>
      </c>
      <c r="G48" s="286">
        <v>0.65</v>
      </c>
      <c r="H48" s="286">
        <v>0</v>
      </c>
      <c r="I48" s="280" t="s">
        <v>586</v>
      </c>
      <c r="J48" s="280" t="s">
        <v>424</v>
      </c>
      <c r="N48" s="238" t="str">
        <f t="shared" si="0"/>
        <v>M_00.0002.0000024</v>
      </c>
    </row>
    <row r="49" spans="1:14" ht="157.5" x14ac:dyDescent="0.25">
      <c r="A49" s="281" t="s">
        <v>492</v>
      </c>
      <c r="B49" s="281" t="s">
        <v>493</v>
      </c>
      <c r="C49" s="285">
        <v>43753</v>
      </c>
      <c r="D49" s="285">
        <v>47447</v>
      </c>
      <c r="E49" s="285">
        <v>43753</v>
      </c>
      <c r="F49" s="285" t="s">
        <v>424</v>
      </c>
      <c r="G49" s="286" t="s">
        <v>628</v>
      </c>
      <c r="H49" s="286" t="s">
        <v>629</v>
      </c>
      <c r="I49" s="280" t="s">
        <v>587</v>
      </c>
      <c r="J49" s="281" t="s">
        <v>424</v>
      </c>
      <c r="N49" s="238" t="str">
        <f t="shared" si="0"/>
        <v>M_00.0002.0000024.1.</v>
      </c>
    </row>
    <row r="50" spans="1:14" ht="47.25" x14ac:dyDescent="0.25">
      <c r="A50" s="281" t="s">
        <v>494</v>
      </c>
      <c r="B50" s="281" t="s">
        <v>495</v>
      </c>
      <c r="C50" s="285" t="s">
        <v>424</v>
      </c>
      <c r="D50" s="285" t="s">
        <v>424</v>
      </c>
      <c r="E50" s="285" t="s">
        <v>424</v>
      </c>
      <c r="F50" s="285" t="s">
        <v>424</v>
      </c>
      <c r="G50" s="286" t="s">
        <v>424</v>
      </c>
      <c r="H50" s="286" t="s">
        <v>424</v>
      </c>
      <c r="I50" s="280" t="s">
        <v>517</v>
      </c>
      <c r="J50" s="281" t="s">
        <v>424</v>
      </c>
      <c r="N50" s="238" t="str">
        <f t="shared" si="0"/>
        <v>M_00.0002.0000024.2.</v>
      </c>
    </row>
    <row r="51" spans="1:14" ht="31.5" x14ac:dyDescent="0.25">
      <c r="A51" s="281" t="s">
        <v>496</v>
      </c>
      <c r="B51" s="281" t="s">
        <v>497</v>
      </c>
      <c r="C51" s="285" t="s">
        <v>424</v>
      </c>
      <c r="D51" s="285" t="s">
        <v>424</v>
      </c>
      <c r="E51" s="285" t="s">
        <v>424</v>
      </c>
      <c r="F51" s="285" t="s">
        <v>424</v>
      </c>
      <c r="G51" s="286" t="s">
        <v>424</v>
      </c>
      <c r="H51" s="286" t="s">
        <v>424</v>
      </c>
      <c r="I51" s="280" t="s">
        <v>517</v>
      </c>
      <c r="J51" s="281" t="s">
        <v>424</v>
      </c>
      <c r="N51" s="238" t="str">
        <f t="shared" si="0"/>
        <v>M_00.0002.0000024.3.</v>
      </c>
    </row>
    <row r="52" spans="1:14" ht="31.5" x14ac:dyDescent="0.25">
      <c r="A52" s="283" t="s">
        <v>498</v>
      </c>
      <c r="B52" s="281" t="s">
        <v>499</v>
      </c>
      <c r="C52" s="285" t="s">
        <v>424</v>
      </c>
      <c r="D52" s="285" t="s">
        <v>424</v>
      </c>
      <c r="E52" s="285" t="s">
        <v>424</v>
      </c>
      <c r="F52" s="285" t="s">
        <v>424</v>
      </c>
      <c r="G52" s="286" t="s">
        <v>424</v>
      </c>
      <c r="H52" s="286" t="s">
        <v>424</v>
      </c>
      <c r="I52" s="280" t="s">
        <v>517</v>
      </c>
      <c r="J52" s="281" t="s">
        <v>424</v>
      </c>
      <c r="N52" s="238" t="str">
        <f t="shared" si="0"/>
        <v>M_00.0002.0000024.4.</v>
      </c>
    </row>
    <row r="53" spans="1:14" ht="157.5" x14ac:dyDescent="0.25">
      <c r="A53" s="281" t="s">
        <v>500</v>
      </c>
      <c r="B53" s="284" t="s">
        <v>501</v>
      </c>
      <c r="C53" s="285">
        <v>43787</v>
      </c>
      <c r="D53" s="285">
        <v>47453</v>
      </c>
      <c r="E53" s="285">
        <v>43787</v>
      </c>
      <c r="F53" s="285" t="s">
        <v>424</v>
      </c>
      <c r="G53" s="286" t="s">
        <v>628</v>
      </c>
      <c r="H53" s="286" t="s">
        <v>629</v>
      </c>
      <c r="I53" s="280" t="s">
        <v>587</v>
      </c>
      <c r="J53" s="281" t="s">
        <v>424</v>
      </c>
      <c r="N53" s="238" t="str">
        <f t="shared" si="0"/>
        <v>M_00.0002.0000024.5.</v>
      </c>
    </row>
    <row r="54" spans="1:14" x14ac:dyDescent="0.25">
      <c r="A54" s="281" t="s">
        <v>502</v>
      </c>
      <c r="B54" s="281" t="s">
        <v>503</v>
      </c>
      <c r="C54" s="285" t="s">
        <v>424</v>
      </c>
      <c r="D54" s="285" t="s">
        <v>424</v>
      </c>
      <c r="E54" s="285" t="s">
        <v>424</v>
      </c>
      <c r="F54" s="285" t="s">
        <v>424</v>
      </c>
      <c r="G54" s="286" t="s">
        <v>424</v>
      </c>
      <c r="H54" s="286" t="s">
        <v>424</v>
      </c>
      <c r="I54" s="280" t="s">
        <v>517</v>
      </c>
      <c r="J54" s="281" t="s">
        <v>424</v>
      </c>
      <c r="N54" s="238" t="str">
        <f t="shared" si="0"/>
        <v>M_00.0002.0000024.6.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2025-11-11T08:06:36Z</dcterms:modified>
</cp:coreProperties>
</file>